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805"/>
  </bookViews>
  <sheets>
    <sheet name="Смета 12 гр. по ФЕР" sheetId="5" r:id="rId1"/>
    <sheet name="Дефектная ведомость" sheetId="6" r:id="rId2"/>
    <sheet name="Локальная ресурсная ведомо" sheetId="7" r:id="rId3"/>
    <sheet name="Source" sheetId="1" state="hidden" r:id="rId4"/>
    <sheet name="SourceObSm" sheetId="2" state="hidden" r:id="rId5"/>
    <sheet name="SmtRes" sheetId="3" state="hidden" r:id="rId6"/>
    <sheet name="EtalonRes" sheetId="4" state="hidden" r:id="rId7"/>
  </sheets>
  <definedNames>
    <definedName name="_xlnm.Print_Titles" localSheetId="1">'Дефектная ведомость'!$10:$10</definedName>
    <definedName name="_xlnm.Print_Titles" localSheetId="2">'Локальная ресурсная ведомо'!$10:$10</definedName>
    <definedName name="_xlnm.Print_Titles" localSheetId="0">'Смета 12 гр. по ФЕР'!$10:$10</definedName>
    <definedName name="_xlnm.Print_Area" localSheetId="1">'Дефектная ведомость'!$A$1:$E$50</definedName>
    <definedName name="_xlnm.Print_Area" localSheetId="2">'Локальная ресурсная ведомо'!$A$1:$G$66</definedName>
    <definedName name="_xlnm.Print_Area" localSheetId="0">'Смета 12 гр. по ФЕР'!$A$1:$L$165</definedName>
  </definedNames>
  <calcPr calcId="125725"/>
</workbook>
</file>

<file path=xl/calcChain.xml><?xml version="1.0" encoding="utf-8"?>
<calcChain xmlns="http://schemas.openxmlformats.org/spreadsheetml/2006/main">
  <c r="D164" i="5"/>
  <c r="G64" i="7"/>
  <c r="C64"/>
  <c r="G61"/>
  <c r="D61"/>
  <c r="C61"/>
  <c r="B61"/>
  <c r="A61"/>
  <c r="G60"/>
  <c r="D60"/>
  <c r="C60"/>
  <c r="B60"/>
  <c r="A60"/>
  <c r="G59"/>
  <c r="F59"/>
  <c r="E59"/>
  <c r="D59"/>
  <c r="C59"/>
  <c r="B59"/>
  <c r="G58"/>
  <c r="D58"/>
  <c r="C58"/>
  <c r="B58"/>
  <c r="A58"/>
  <c r="G57"/>
  <c r="F57"/>
  <c r="E57"/>
  <c r="D57"/>
  <c r="C57"/>
  <c r="B57"/>
  <c r="G56"/>
  <c r="F56"/>
  <c r="E56"/>
  <c r="D56"/>
  <c r="C56"/>
  <c r="B56"/>
  <c r="G55"/>
  <c r="F55"/>
  <c r="E55"/>
  <c r="D55"/>
  <c r="C55"/>
  <c r="B55"/>
  <c r="G54"/>
  <c r="D54"/>
  <c r="B54"/>
  <c r="A54"/>
  <c r="G53"/>
  <c r="F53"/>
  <c r="E53"/>
  <c r="D53"/>
  <c r="C53"/>
  <c r="B53"/>
  <c r="G52"/>
  <c r="D52"/>
  <c r="B52"/>
  <c r="A52"/>
  <c r="G51"/>
  <c r="F51"/>
  <c r="E51"/>
  <c r="D51"/>
  <c r="C51"/>
  <c r="B51"/>
  <c r="G50"/>
  <c r="F50"/>
  <c r="E50"/>
  <c r="D50"/>
  <c r="C50"/>
  <c r="B50"/>
  <c r="G49"/>
  <c r="F49"/>
  <c r="E49"/>
  <c r="D49"/>
  <c r="C49"/>
  <c r="B49"/>
  <c r="G48"/>
  <c r="F48"/>
  <c r="E48"/>
  <c r="D48"/>
  <c r="C48"/>
  <c r="B48"/>
  <c r="G47"/>
  <c r="F47"/>
  <c r="E47"/>
  <c r="D47"/>
  <c r="C47"/>
  <c r="B47"/>
  <c r="G46"/>
  <c r="F46"/>
  <c r="E46"/>
  <c r="D46"/>
  <c r="C46"/>
  <c r="B46"/>
  <c r="G45"/>
  <c r="D45"/>
  <c r="B45"/>
  <c r="A45"/>
  <c r="G44"/>
  <c r="F44"/>
  <c r="E44"/>
  <c r="D44"/>
  <c r="C44"/>
  <c r="B44"/>
  <c r="G43"/>
  <c r="F43"/>
  <c r="E43"/>
  <c r="D43"/>
  <c r="C43"/>
  <c r="B43"/>
  <c r="G42"/>
  <c r="F42"/>
  <c r="E42"/>
  <c r="D42"/>
  <c r="C42"/>
  <c r="B42"/>
  <c r="G41"/>
  <c r="F41"/>
  <c r="E41"/>
  <c r="D41"/>
  <c r="C41"/>
  <c r="B41"/>
  <c r="G40"/>
  <c r="F40"/>
  <c r="E40"/>
  <c r="D40"/>
  <c r="C40"/>
  <c r="B40"/>
  <c r="G39"/>
  <c r="F39"/>
  <c r="E39"/>
  <c r="D39"/>
  <c r="C39"/>
  <c r="B39"/>
  <c r="G38"/>
  <c r="D38"/>
  <c r="B38"/>
  <c r="A38"/>
  <c r="G37"/>
  <c r="F37"/>
  <c r="E37"/>
  <c r="D37"/>
  <c r="C37"/>
  <c r="B37"/>
  <c r="G36"/>
  <c r="F36"/>
  <c r="E36"/>
  <c r="D36"/>
  <c r="C36"/>
  <c r="B36"/>
  <c r="G35"/>
  <c r="F35"/>
  <c r="E35"/>
  <c r="D35"/>
  <c r="C35"/>
  <c r="B35"/>
  <c r="G34"/>
  <c r="F34"/>
  <c r="E34"/>
  <c r="D34"/>
  <c r="C34"/>
  <c r="B34"/>
  <c r="G33"/>
  <c r="F33"/>
  <c r="E33"/>
  <c r="D33"/>
  <c r="C33"/>
  <c r="B33"/>
  <c r="G32"/>
  <c r="F32"/>
  <c r="E32"/>
  <c r="D32"/>
  <c r="C32"/>
  <c r="B32"/>
  <c r="G31"/>
  <c r="D31"/>
  <c r="B31"/>
  <c r="A31"/>
  <c r="G30"/>
  <c r="D30"/>
  <c r="B30"/>
  <c r="A30"/>
  <c r="G29"/>
  <c r="F29"/>
  <c r="E29"/>
  <c r="D29"/>
  <c r="C29"/>
  <c r="B29"/>
  <c r="G28"/>
  <c r="F28"/>
  <c r="E28"/>
  <c r="D28"/>
  <c r="C28"/>
  <c r="B28"/>
  <c r="G27"/>
  <c r="F27"/>
  <c r="E27"/>
  <c r="D27"/>
  <c r="C27"/>
  <c r="B27"/>
  <c r="G26"/>
  <c r="F26"/>
  <c r="E26"/>
  <c r="D26"/>
  <c r="C26"/>
  <c r="B26"/>
  <c r="G25"/>
  <c r="D25"/>
  <c r="B25"/>
  <c r="A25"/>
  <c r="G24"/>
  <c r="D24"/>
  <c r="C24"/>
  <c r="B24"/>
  <c r="A24"/>
  <c r="G23"/>
  <c r="F23"/>
  <c r="E23"/>
  <c r="D23"/>
  <c r="C23"/>
  <c r="B23"/>
  <c r="G22"/>
  <c r="F22"/>
  <c r="E22"/>
  <c r="D22"/>
  <c r="C22"/>
  <c r="B22"/>
  <c r="G21"/>
  <c r="F21"/>
  <c r="E21"/>
  <c r="D21"/>
  <c r="C21"/>
  <c r="B21"/>
  <c r="G20"/>
  <c r="D20"/>
  <c r="C20"/>
  <c r="B20"/>
  <c r="A20"/>
  <c r="G19"/>
  <c r="F19"/>
  <c r="E19"/>
  <c r="D19"/>
  <c r="C19"/>
  <c r="B19"/>
  <c r="G18"/>
  <c r="D18"/>
  <c r="B18"/>
  <c r="A18"/>
  <c r="G17"/>
  <c r="F17"/>
  <c r="E17"/>
  <c r="D17"/>
  <c r="C17"/>
  <c r="B17"/>
  <c r="G16"/>
  <c r="F16"/>
  <c r="E16"/>
  <c r="D16"/>
  <c r="C16"/>
  <c r="B16"/>
  <c r="G15"/>
  <c r="F15"/>
  <c r="E15"/>
  <c r="D15"/>
  <c r="C15"/>
  <c r="B15"/>
  <c r="G14"/>
  <c r="D14"/>
  <c r="C14"/>
  <c r="B14"/>
  <c r="A14"/>
  <c r="G13"/>
  <c r="D13"/>
  <c r="C13"/>
  <c r="B13"/>
  <c r="A13"/>
  <c r="G12"/>
  <c r="F12"/>
  <c r="E12"/>
  <c r="D12"/>
  <c r="C12"/>
  <c r="B12"/>
  <c r="G11"/>
  <c r="D11"/>
  <c r="C11"/>
  <c r="B11"/>
  <c r="A11"/>
  <c r="C7"/>
  <c r="A4"/>
  <c r="A2"/>
  <c r="D45" i="6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B28"/>
  <c r="A28"/>
  <c r="D27"/>
  <c r="C27"/>
  <c r="B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AE11"/>
  <c r="A11"/>
  <c r="A4"/>
  <c r="A3"/>
  <c r="A1"/>
  <c r="AF145" i="5"/>
  <c r="AD3"/>
  <c r="I161"/>
  <c r="I158"/>
  <c r="D161"/>
  <c r="D158"/>
  <c r="C155"/>
  <c r="C154"/>
  <c r="C153"/>
  <c r="C152"/>
  <c r="C151"/>
  <c r="J149"/>
  <c r="C149"/>
  <c r="J148"/>
  <c r="C148"/>
  <c r="A145"/>
  <c r="L143"/>
  <c r="Q143" s="1"/>
  <c r="Z143"/>
  <c r="Y143"/>
  <c r="X143"/>
  <c r="K142"/>
  <c r="J143" s="1"/>
  <c r="P143" s="1"/>
  <c r="H142"/>
  <c r="G143" s="1"/>
  <c r="O143" s="1"/>
  <c r="J142"/>
  <c r="G142"/>
  <c r="F142"/>
  <c r="V142"/>
  <c r="T142"/>
  <c r="U142"/>
  <c r="S142"/>
  <c r="E142"/>
  <c r="D142"/>
  <c r="I142"/>
  <c r="C142"/>
  <c r="B142"/>
  <c r="A142"/>
  <c r="L141"/>
  <c r="Q141" s="1"/>
  <c r="G141"/>
  <c r="O141" s="1"/>
  <c r="Z141"/>
  <c r="Y141"/>
  <c r="X141"/>
  <c r="W141"/>
  <c r="K140"/>
  <c r="J141" s="1"/>
  <c r="P141" s="1"/>
  <c r="H140"/>
  <c r="J140"/>
  <c r="G140"/>
  <c r="F140"/>
  <c r="V140"/>
  <c r="T140"/>
  <c r="U140"/>
  <c r="S140"/>
  <c r="E140"/>
  <c r="D140"/>
  <c r="I140"/>
  <c r="C140"/>
  <c r="B140"/>
  <c r="A140"/>
  <c r="L139"/>
  <c r="Q139" s="1"/>
  <c r="Z139"/>
  <c r="Y139"/>
  <c r="X139"/>
  <c r="K138"/>
  <c r="J138"/>
  <c r="Z138"/>
  <c r="Y138"/>
  <c r="X138"/>
  <c r="H138"/>
  <c r="W138" s="1"/>
  <c r="F138"/>
  <c r="V138"/>
  <c r="T138"/>
  <c r="U138"/>
  <c r="S138"/>
  <c r="E138"/>
  <c r="D138"/>
  <c r="C138"/>
  <c r="B138"/>
  <c r="A138"/>
  <c r="L137"/>
  <c r="G137"/>
  <c r="E137"/>
  <c r="J136"/>
  <c r="I136"/>
  <c r="F136"/>
  <c r="E136"/>
  <c r="J135"/>
  <c r="I135"/>
  <c r="E135"/>
  <c r="K134"/>
  <c r="J134"/>
  <c r="H134"/>
  <c r="R134" s="1"/>
  <c r="G134"/>
  <c r="F134"/>
  <c r="K133"/>
  <c r="J133"/>
  <c r="H133"/>
  <c r="G133"/>
  <c r="F133"/>
  <c r="K132"/>
  <c r="J132"/>
  <c r="H132"/>
  <c r="G132"/>
  <c r="F132"/>
  <c r="V131"/>
  <c r="K136" s="1"/>
  <c r="T131"/>
  <c r="U131"/>
  <c r="S131"/>
  <c r="F131"/>
  <c r="E131"/>
  <c r="D131"/>
  <c r="I131"/>
  <c r="C131"/>
  <c r="B131"/>
  <c r="A131"/>
  <c r="L130"/>
  <c r="Q130" s="1"/>
  <c r="Z130"/>
  <c r="Y130"/>
  <c r="X130"/>
  <c r="L129"/>
  <c r="G129"/>
  <c r="E129"/>
  <c r="J128"/>
  <c r="I128"/>
  <c r="F128"/>
  <c r="E128"/>
  <c r="J127"/>
  <c r="I127"/>
  <c r="E127"/>
  <c r="K126"/>
  <c r="J126"/>
  <c r="H126"/>
  <c r="G126"/>
  <c r="F126"/>
  <c r="K125"/>
  <c r="J125"/>
  <c r="R125"/>
  <c r="H125"/>
  <c r="G125"/>
  <c r="F125"/>
  <c r="K124"/>
  <c r="J124"/>
  <c r="H124"/>
  <c r="G124"/>
  <c r="F124"/>
  <c r="K123"/>
  <c r="J123"/>
  <c r="H123"/>
  <c r="G123"/>
  <c r="F123"/>
  <c r="V122"/>
  <c r="K128" s="1"/>
  <c r="T122"/>
  <c r="K127" s="1"/>
  <c r="U122"/>
  <c r="H128" s="1"/>
  <c r="S122"/>
  <c r="H127" s="1"/>
  <c r="F122"/>
  <c r="E122"/>
  <c r="D122"/>
  <c r="I122"/>
  <c r="C122"/>
  <c r="A122"/>
  <c r="L121"/>
  <c r="Q121" s="1"/>
  <c r="Z121"/>
  <c r="Y121"/>
  <c r="X121"/>
  <c r="K120"/>
  <c r="J120"/>
  <c r="Z120"/>
  <c r="Y120"/>
  <c r="X120"/>
  <c r="H120"/>
  <c r="W120" s="1"/>
  <c r="F120"/>
  <c r="V120"/>
  <c r="T120"/>
  <c r="U120"/>
  <c r="S120"/>
  <c r="E120"/>
  <c r="D120"/>
  <c r="C120"/>
  <c r="B120"/>
  <c r="A120"/>
  <c r="L119"/>
  <c r="G119"/>
  <c r="E119"/>
  <c r="J118"/>
  <c r="I118"/>
  <c r="F118"/>
  <c r="E118"/>
  <c r="J117"/>
  <c r="I117"/>
  <c r="E117"/>
  <c r="K116"/>
  <c r="J116"/>
  <c r="H116"/>
  <c r="G116"/>
  <c r="F116"/>
  <c r="V115"/>
  <c r="K118" s="1"/>
  <c r="T115"/>
  <c r="K117" s="1"/>
  <c r="U115"/>
  <c r="H118" s="1"/>
  <c r="S115"/>
  <c r="F115"/>
  <c r="E115"/>
  <c r="D115"/>
  <c r="I115"/>
  <c r="C115"/>
  <c r="A115"/>
  <c r="L114"/>
  <c r="Q114" s="1"/>
  <c r="Z114"/>
  <c r="Y114"/>
  <c r="X114"/>
  <c r="K113"/>
  <c r="J113"/>
  <c r="Z113"/>
  <c r="Y113"/>
  <c r="X113"/>
  <c r="H113"/>
  <c r="W113" s="1"/>
  <c r="F113"/>
  <c r="V113"/>
  <c r="T113"/>
  <c r="U113"/>
  <c r="S113"/>
  <c r="E113"/>
  <c r="D113"/>
  <c r="B113"/>
  <c r="A113"/>
  <c r="K112"/>
  <c r="J112"/>
  <c r="Z112"/>
  <c r="Y112"/>
  <c r="X112"/>
  <c r="H112"/>
  <c r="W112" s="1"/>
  <c r="F112"/>
  <c r="V112"/>
  <c r="T112"/>
  <c r="U112"/>
  <c r="S112"/>
  <c r="E112"/>
  <c r="D112"/>
  <c r="C112"/>
  <c r="B112"/>
  <c r="A112"/>
  <c r="K111"/>
  <c r="J111"/>
  <c r="Z111"/>
  <c r="Y111"/>
  <c r="X111"/>
  <c r="H111"/>
  <c r="W111" s="1"/>
  <c r="F111"/>
  <c r="V111"/>
  <c r="T111"/>
  <c r="U111"/>
  <c r="S111"/>
  <c r="E111"/>
  <c r="D111"/>
  <c r="C111"/>
  <c r="B111"/>
  <c r="A111"/>
  <c r="L110"/>
  <c r="G110"/>
  <c r="E110"/>
  <c r="J109"/>
  <c r="I109"/>
  <c r="F109"/>
  <c r="E109"/>
  <c r="J108"/>
  <c r="I108"/>
  <c r="E108"/>
  <c r="K107"/>
  <c r="J107"/>
  <c r="H107"/>
  <c r="G107"/>
  <c r="F107"/>
  <c r="K106"/>
  <c r="J106"/>
  <c r="H106"/>
  <c r="R106" s="1"/>
  <c r="G106"/>
  <c r="F106"/>
  <c r="K105"/>
  <c r="J105"/>
  <c r="H105"/>
  <c r="G105"/>
  <c r="F105"/>
  <c r="K104"/>
  <c r="J104"/>
  <c r="H104"/>
  <c r="R104" s="1"/>
  <c r="G104"/>
  <c r="F104"/>
  <c r="V103"/>
  <c r="T103"/>
  <c r="U103"/>
  <c r="S103"/>
  <c r="F103"/>
  <c r="E103"/>
  <c r="D103"/>
  <c r="I103"/>
  <c r="C103"/>
  <c r="A103"/>
  <c r="L102"/>
  <c r="Q102" s="1"/>
  <c r="Z102"/>
  <c r="Y102"/>
  <c r="X102"/>
  <c r="K101"/>
  <c r="J101"/>
  <c r="Z101"/>
  <c r="Y101"/>
  <c r="X101"/>
  <c r="H101"/>
  <c r="W101" s="1"/>
  <c r="F101"/>
  <c r="V101"/>
  <c r="T101"/>
  <c r="U101"/>
  <c r="S101"/>
  <c r="E101"/>
  <c r="D101"/>
  <c r="B101"/>
  <c r="A101"/>
  <c r="K100"/>
  <c r="J100"/>
  <c r="Z100"/>
  <c r="Y100"/>
  <c r="X100"/>
  <c r="H100"/>
  <c r="W100" s="1"/>
  <c r="F100"/>
  <c r="V100"/>
  <c r="T100"/>
  <c r="U100"/>
  <c r="S100"/>
  <c r="E100"/>
  <c r="D100"/>
  <c r="C100"/>
  <c r="B100"/>
  <c r="A100"/>
  <c r="K99"/>
  <c r="J99"/>
  <c r="Z99"/>
  <c r="Y99"/>
  <c r="X99"/>
  <c r="H99"/>
  <c r="W99" s="1"/>
  <c r="F99"/>
  <c r="V99"/>
  <c r="T99"/>
  <c r="U99"/>
  <c r="S99"/>
  <c r="E99"/>
  <c r="D99"/>
  <c r="C99"/>
  <c r="B99"/>
  <c r="A99"/>
  <c r="L98"/>
  <c r="G98"/>
  <c r="E98"/>
  <c r="J97"/>
  <c r="I97"/>
  <c r="F97"/>
  <c r="E97"/>
  <c r="J96"/>
  <c r="I96"/>
  <c r="E96"/>
  <c r="K95"/>
  <c r="J95"/>
  <c r="H95"/>
  <c r="G95"/>
  <c r="F95"/>
  <c r="K94"/>
  <c r="J94"/>
  <c r="H94"/>
  <c r="R94" s="1"/>
  <c r="G94"/>
  <c r="F94"/>
  <c r="K93"/>
  <c r="J93"/>
  <c r="H93"/>
  <c r="G93"/>
  <c r="F93"/>
  <c r="K92"/>
  <c r="J92"/>
  <c r="H92"/>
  <c r="G92"/>
  <c r="F92"/>
  <c r="V91"/>
  <c r="T91"/>
  <c r="U91"/>
  <c r="S91"/>
  <c r="H96" s="1"/>
  <c r="F91"/>
  <c r="E91"/>
  <c r="D91"/>
  <c r="I91"/>
  <c r="C91"/>
  <c r="A91"/>
  <c r="L90"/>
  <c r="Q90" s="1"/>
  <c r="Z90"/>
  <c r="Y90"/>
  <c r="X90"/>
  <c r="K89"/>
  <c r="J89"/>
  <c r="Z89"/>
  <c r="Y89"/>
  <c r="X89"/>
  <c r="H89"/>
  <c r="W89" s="1"/>
  <c r="F89"/>
  <c r="V89"/>
  <c r="T89"/>
  <c r="U89"/>
  <c r="S89"/>
  <c r="E89"/>
  <c r="D89"/>
  <c r="B89"/>
  <c r="A89"/>
  <c r="K88"/>
  <c r="J88"/>
  <c r="Z88"/>
  <c r="Y88"/>
  <c r="X88"/>
  <c r="H88"/>
  <c r="W88" s="1"/>
  <c r="F88"/>
  <c r="V88"/>
  <c r="T88"/>
  <c r="U88"/>
  <c r="S88"/>
  <c r="E88"/>
  <c r="D88"/>
  <c r="C88"/>
  <c r="B88"/>
  <c r="A88"/>
  <c r="K87"/>
  <c r="J87"/>
  <c r="Z87"/>
  <c r="Y87"/>
  <c r="X87"/>
  <c r="H87"/>
  <c r="W87" s="1"/>
  <c r="F87"/>
  <c r="V87"/>
  <c r="T87"/>
  <c r="U87"/>
  <c r="S87"/>
  <c r="E87"/>
  <c r="D87"/>
  <c r="C87"/>
  <c r="B87"/>
  <c r="A87"/>
  <c r="L86"/>
  <c r="G86"/>
  <c r="E86"/>
  <c r="J85"/>
  <c r="I85"/>
  <c r="F85"/>
  <c r="E85"/>
  <c r="J84"/>
  <c r="I84"/>
  <c r="E84"/>
  <c r="K83"/>
  <c r="J83"/>
  <c r="H83"/>
  <c r="G83"/>
  <c r="F83"/>
  <c r="K82"/>
  <c r="J82"/>
  <c r="H82"/>
  <c r="R82" s="1"/>
  <c r="G82"/>
  <c r="F82"/>
  <c r="K81"/>
  <c r="J81"/>
  <c r="H81"/>
  <c r="G81"/>
  <c r="F81"/>
  <c r="K80"/>
  <c r="J80"/>
  <c r="H80"/>
  <c r="R80" s="1"/>
  <c r="G80"/>
  <c r="F80"/>
  <c r="V79"/>
  <c r="T79"/>
  <c r="U79"/>
  <c r="S79"/>
  <c r="H84" s="1"/>
  <c r="F79"/>
  <c r="E79"/>
  <c r="D79"/>
  <c r="I79"/>
  <c r="C79"/>
  <c r="A79"/>
  <c r="L78"/>
  <c r="Q78" s="1"/>
  <c r="Z78"/>
  <c r="Y78"/>
  <c r="X78"/>
  <c r="L77"/>
  <c r="G77"/>
  <c r="E77"/>
  <c r="J76"/>
  <c r="I76"/>
  <c r="F76"/>
  <c r="E76"/>
  <c r="J75"/>
  <c r="I75"/>
  <c r="E75"/>
  <c r="K74"/>
  <c r="J74"/>
  <c r="H74"/>
  <c r="R74" s="1"/>
  <c r="G74"/>
  <c r="F74"/>
  <c r="V73"/>
  <c r="K76" s="1"/>
  <c r="T73"/>
  <c r="K75" s="1"/>
  <c r="U73"/>
  <c r="H76" s="1"/>
  <c r="S73"/>
  <c r="H75" s="1"/>
  <c r="F73"/>
  <c r="E73"/>
  <c r="D73"/>
  <c r="I73"/>
  <c r="C73"/>
  <c r="A73"/>
  <c r="L72"/>
  <c r="Q72" s="1"/>
  <c r="Z72"/>
  <c r="Y72"/>
  <c r="X72"/>
  <c r="K71"/>
  <c r="J71"/>
  <c r="Z71"/>
  <c r="Y71"/>
  <c r="X71"/>
  <c r="H71"/>
  <c r="W71" s="1"/>
  <c r="F71"/>
  <c r="V71"/>
  <c r="T71"/>
  <c r="U71"/>
  <c r="S71"/>
  <c r="E71"/>
  <c r="D71"/>
  <c r="C71"/>
  <c r="B71"/>
  <c r="A71"/>
  <c r="L70"/>
  <c r="G70"/>
  <c r="E70"/>
  <c r="J69"/>
  <c r="I69"/>
  <c r="F69"/>
  <c r="E69"/>
  <c r="J68"/>
  <c r="I68"/>
  <c r="E68"/>
  <c r="K67"/>
  <c r="J67"/>
  <c r="H67"/>
  <c r="G67"/>
  <c r="F67"/>
  <c r="K66"/>
  <c r="J66"/>
  <c r="H66"/>
  <c r="R66" s="1"/>
  <c r="G66"/>
  <c r="F66"/>
  <c r="K65"/>
  <c r="J65"/>
  <c r="H65"/>
  <c r="G65"/>
  <c r="F65"/>
  <c r="K64"/>
  <c r="J64"/>
  <c r="H64"/>
  <c r="G64"/>
  <c r="F64"/>
  <c r="V63"/>
  <c r="T63"/>
  <c r="U63"/>
  <c r="H69" s="1"/>
  <c r="S63"/>
  <c r="F63"/>
  <c r="E63"/>
  <c r="D63"/>
  <c r="I63"/>
  <c r="C63"/>
  <c r="A63"/>
  <c r="L62"/>
  <c r="Q62" s="1"/>
  <c r="Z62"/>
  <c r="Y62"/>
  <c r="X62"/>
  <c r="L61"/>
  <c r="G61"/>
  <c r="E61"/>
  <c r="J60"/>
  <c r="I60"/>
  <c r="F60"/>
  <c r="E60"/>
  <c r="J59"/>
  <c r="I59"/>
  <c r="E59"/>
  <c r="K58"/>
  <c r="J58"/>
  <c r="H58"/>
  <c r="G58"/>
  <c r="F58"/>
  <c r="K57"/>
  <c r="J57"/>
  <c r="H57"/>
  <c r="R57" s="1"/>
  <c r="G57"/>
  <c r="F57"/>
  <c r="V56"/>
  <c r="K60" s="1"/>
  <c r="T56"/>
  <c r="K59" s="1"/>
  <c r="U56"/>
  <c r="H60" s="1"/>
  <c r="S56"/>
  <c r="H59" s="1"/>
  <c r="F56"/>
  <c r="E56"/>
  <c r="D56"/>
  <c r="I56"/>
  <c r="C56"/>
  <c r="B56"/>
  <c r="A56"/>
  <c r="L55"/>
  <c r="Q55" s="1"/>
  <c r="Z55"/>
  <c r="Y55"/>
  <c r="X55"/>
  <c r="K54"/>
  <c r="J54"/>
  <c r="Z54"/>
  <c r="Y54"/>
  <c r="X54"/>
  <c r="H54"/>
  <c r="W54" s="1"/>
  <c r="F54"/>
  <c r="V54"/>
  <c r="T54"/>
  <c r="U54"/>
  <c r="S54"/>
  <c r="E54"/>
  <c r="D54"/>
  <c r="C54"/>
  <c r="B54"/>
  <c r="A54"/>
  <c r="K53"/>
  <c r="J53"/>
  <c r="Z53"/>
  <c r="Y53"/>
  <c r="X53"/>
  <c r="H53"/>
  <c r="W53" s="1"/>
  <c r="F53"/>
  <c r="V53"/>
  <c r="T53"/>
  <c r="U53"/>
  <c r="S53"/>
  <c r="E53"/>
  <c r="D53"/>
  <c r="C53"/>
  <c r="B53"/>
  <c r="A53"/>
  <c r="K52"/>
  <c r="J52"/>
  <c r="Z52"/>
  <c r="Y52"/>
  <c r="X52"/>
  <c r="W52"/>
  <c r="H52"/>
  <c r="F52"/>
  <c r="V52"/>
  <c r="T52"/>
  <c r="U52"/>
  <c r="S52"/>
  <c r="E52"/>
  <c r="D52"/>
  <c r="C52"/>
  <c r="B52"/>
  <c r="A52"/>
  <c r="L51"/>
  <c r="G51"/>
  <c r="E51"/>
  <c r="J50"/>
  <c r="I50"/>
  <c r="E50"/>
  <c r="J49"/>
  <c r="I49"/>
  <c r="E49"/>
  <c r="K48"/>
  <c r="J48"/>
  <c r="H48"/>
  <c r="G48"/>
  <c r="F48"/>
  <c r="K47"/>
  <c r="J47"/>
  <c r="R47"/>
  <c r="H47"/>
  <c r="G47"/>
  <c r="F47"/>
  <c r="V46"/>
  <c r="T46"/>
  <c r="U46"/>
  <c r="S46"/>
  <c r="F46"/>
  <c r="E46"/>
  <c r="D46"/>
  <c r="I46"/>
  <c r="C46"/>
  <c r="B46"/>
  <c r="A46"/>
  <c r="L45"/>
  <c r="Q45" s="1"/>
  <c r="Z45"/>
  <c r="Y45"/>
  <c r="X45"/>
  <c r="L44"/>
  <c r="G44"/>
  <c r="E44"/>
  <c r="J43"/>
  <c r="I43"/>
  <c r="F43"/>
  <c r="E43"/>
  <c r="J42"/>
  <c r="I42"/>
  <c r="E42"/>
  <c r="K41"/>
  <c r="J41"/>
  <c r="H41"/>
  <c r="G41"/>
  <c r="F41"/>
  <c r="K40"/>
  <c r="J40"/>
  <c r="R40"/>
  <c r="H40"/>
  <c r="G40"/>
  <c r="F40"/>
  <c r="K39"/>
  <c r="J39"/>
  <c r="H39"/>
  <c r="G39"/>
  <c r="F39"/>
  <c r="K38"/>
  <c r="J38"/>
  <c r="H38"/>
  <c r="R38" s="1"/>
  <c r="G38"/>
  <c r="F38"/>
  <c r="V37"/>
  <c r="K43" s="1"/>
  <c r="T37"/>
  <c r="K42" s="1"/>
  <c r="U37"/>
  <c r="H43" s="1"/>
  <c r="S37"/>
  <c r="H42" s="1"/>
  <c r="F37"/>
  <c r="E37"/>
  <c r="D37"/>
  <c r="I37"/>
  <c r="C37"/>
  <c r="A37"/>
  <c r="L36"/>
  <c r="Q36" s="1"/>
  <c r="Z36"/>
  <c r="Y36"/>
  <c r="X36"/>
  <c r="K35"/>
  <c r="J35"/>
  <c r="Z35"/>
  <c r="Y35"/>
  <c r="X35"/>
  <c r="H35"/>
  <c r="W35" s="1"/>
  <c r="F35"/>
  <c r="V35"/>
  <c r="T35"/>
  <c r="U35"/>
  <c r="S35"/>
  <c r="E35"/>
  <c r="D35"/>
  <c r="C35"/>
  <c r="B35"/>
  <c r="A35"/>
  <c r="K34"/>
  <c r="J34"/>
  <c r="Z34"/>
  <c r="Y34"/>
  <c r="X34"/>
  <c r="H34"/>
  <c r="W34" s="1"/>
  <c r="F34"/>
  <c r="V34"/>
  <c r="T34"/>
  <c r="U34"/>
  <c r="S34"/>
  <c r="E34"/>
  <c r="D34"/>
  <c r="C34"/>
  <c r="B34"/>
  <c r="A34"/>
  <c r="L33"/>
  <c r="G33"/>
  <c r="E33"/>
  <c r="J32"/>
  <c r="I32"/>
  <c r="E32"/>
  <c r="J31"/>
  <c r="I31"/>
  <c r="E31"/>
  <c r="K30"/>
  <c r="J30"/>
  <c r="H30"/>
  <c r="G30"/>
  <c r="F30"/>
  <c r="K29"/>
  <c r="J29"/>
  <c r="H29"/>
  <c r="R29" s="1"/>
  <c r="G29"/>
  <c r="F29"/>
  <c r="K28"/>
  <c r="J28"/>
  <c r="H28"/>
  <c r="G28"/>
  <c r="F28"/>
  <c r="K27"/>
  <c r="J27"/>
  <c r="H27"/>
  <c r="R27" s="1"/>
  <c r="G27"/>
  <c r="F27"/>
  <c r="V26"/>
  <c r="T26"/>
  <c r="U26"/>
  <c r="S26"/>
  <c r="F26"/>
  <c r="E26"/>
  <c r="D26"/>
  <c r="I26"/>
  <c r="C26"/>
  <c r="B26"/>
  <c r="A26"/>
  <c r="L25"/>
  <c r="Q25" s="1"/>
  <c r="Z25"/>
  <c r="Y25"/>
  <c r="X25"/>
  <c r="L24"/>
  <c r="G24"/>
  <c r="E24"/>
  <c r="J23"/>
  <c r="I23"/>
  <c r="F23"/>
  <c r="E23"/>
  <c r="J22"/>
  <c r="I22"/>
  <c r="E22"/>
  <c r="K21"/>
  <c r="J21"/>
  <c r="H21"/>
  <c r="G21"/>
  <c r="F21"/>
  <c r="K20"/>
  <c r="J20"/>
  <c r="H20"/>
  <c r="R20" s="1"/>
  <c r="G20"/>
  <c r="F20"/>
  <c r="V19"/>
  <c r="K23" s="1"/>
  <c r="T19"/>
  <c r="K22" s="1"/>
  <c r="U19"/>
  <c r="H23" s="1"/>
  <c r="S19"/>
  <c r="H22" s="1"/>
  <c r="F19"/>
  <c r="E19"/>
  <c r="D19"/>
  <c r="I19"/>
  <c r="C19"/>
  <c r="B19"/>
  <c r="A19"/>
  <c r="L18"/>
  <c r="Q18" s="1"/>
  <c r="Z18"/>
  <c r="Y18"/>
  <c r="X18"/>
  <c r="K17"/>
  <c r="J17"/>
  <c r="Z17"/>
  <c r="Y17"/>
  <c r="X17"/>
  <c r="H17"/>
  <c r="W17" s="1"/>
  <c r="F17"/>
  <c r="V17"/>
  <c r="T17"/>
  <c r="U17"/>
  <c r="S17"/>
  <c r="E17"/>
  <c r="D17"/>
  <c r="C17"/>
  <c r="B17"/>
  <c r="A17"/>
  <c r="L16"/>
  <c r="G16"/>
  <c r="E16"/>
  <c r="J15"/>
  <c r="I15"/>
  <c r="E15"/>
  <c r="J14"/>
  <c r="I14"/>
  <c r="E14"/>
  <c r="K13"/>
  <c r="J13"/>
  <c r="H13"/>
  <c r="G13"/>
  <c r="F13"/>
  <c r="K12"/>
  <c r="J12"/>
  <c r="H12"/>
  <c r="R12" s="1"/>
  <c r="G12"/>
  <c r="F12"/>
  <c r="V11"/>
  <c r="K15" s="1"/>
  <c r="T11"/>
  <c r="K14" s="1"/>
  <c r="U11"/>
  <c r="H15" s="1"/>
  <c r="S11"/>
  <c r="F11"/>
  <c r="E11"/>
  <c r="D11"/>
  <c r="I11"/>
  <c r="C11"/>
  <c r="B11"/>
  <c r="A11"/>
  <c r="A6"/>
  <c r="B3"/>
  <c r="B1"/>
  <c r="H32" l="1"/>
  <c r="K68"/>
  <c r="K69"/>
  <c r="H85"/>
  <c r="J18"/>
  <c r="P18" s="1"/>
  <c r="H68"/>
  <c r="K84"/>
  <c r="K85"/>
  <c r="K97"/>
  <c r="J121"/>
  <c r="P121" s="1"/>
  <c r="K50"/>
  <c r="H108"/>
  <c r="K135"/>
  <c r="J25"/>
  <c r="P25" s="1"/>
  <c r="G72"/>
  <c r="O72" s="1"/>
  <c r="J78"/>
  <c r="P78" s="1"/>
  <c r="H14"/>
  <c r="G18" s="1"/>
  <c r="O18" s="1"/>
  <c r="K96"/>
  <c r="H109"/>
  <c r="H31"/>
  <c r="K109"/>
  <c r="R116"/>
  <c r="H135"/>
  <c r="R92"/>
  <c r="K31"/>
  <c r="H50"/>
  <c r="K108"/>
  <c r="J114" s="1"/>
  <c r="P114" s="1"/>
  <c r="K32"/>
  <c r="K49"/>
  <c r="H49"/>
  <c r="G55" s="1"/>
  <c r="O55" s="1"/>
  <c r="H97"/>
  <c r="G102" s="1"/>
  <c r="O102" s="1"/>
  <c r="H117"/>
  <c r="G121" s="1"/>
  <c r="O121" s="1"/>
  <c r="H136"/>
  <c r="G25"/>
  <c r="O25" s="1"/>
  <c r="J90"/>
  <c r="P90" s="1"/>
  <c r="G130"/>
  <c r="O130" s="1"/>
  <c r="W36"/>
  <c r="G36"/>
  <c r="O36" s="1"/>
  <c r="G45"/>
  <c r="O45" s="1"/>
  <c r="G62"/>
  <c r="O62" s="1"/>
  <c r="G78"/>
  <c r="O78" s="1"/>
  <c r="G90"/>
  <c r="O90" s="1"/>
  <c r="J139"/>
  <c r="P139" s="1"/>
  <c r="W18"/>
  <c r="L145"/>
  <c r="J45"/>
  <c r="P45" s="1"/>
  <c r="J62"/>
  <c r="P62" s="1"/>
  <c r="J72"/>
  <c r="P72" s="1"/>
  <c r="J130"/>
  <c r="P130" s="1"/>
  <c r="R64"/>
  <c r="W90"/>
  <c r="W114"/>
  <c r="R123"/>
  <c r="W143"/>
  <c r="W45"/>
  <c r="W25"/>
  <c r="W62"/>
  <c r="W121"/>
  <c r="W130"/>
  <c r="R132"/>
  <c r="W72"/>
  <c r="W78"/>
  <c r="A1" i="4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1" i="3"/>
  <c r="CX1"/>
  <c r="CY1"/>
  <c r="CZ1"/>
  <c r="DA1"/>
  <c r="A2"/>
  <c r="CX2"/>
  <c r="CY2"/>
  <c r="CZ2"/>
  <c r="DA2"/>
  <c r="A3"/>
  <c r="CX3"/>
  <c r="CY3"/>
  <c r="CZ3"/>
  <c r="DA3"/>
  <c r="A4"/>
  <c r="CX4"/>
  <c r="CY4"/>
  <c r="CZ4"/>
  <c r="DA4"/>
  <c r="A5"/>
  <c r="CX5"/>
  <c r="CY5"/>
  <c r="CZ5"/>
  <c r="DA5"/>
  <c r="A6"/>
  <c r="CX6"/>
  <c r="CY6"/>
  <c r="CZ6"/>
  <c r="DA6"/>
  <c r="A7"/>
  <c r="CX7"/>
  <c r="CY7"/>
  <c r="CZ7"/>
  <c r="DA7"/>
  <c r="A8"/>
  <c r="CX8"/>
  <c r="CY8"/>
  <c r="CZ8"/>
  <c r="DA8"/>
  <c r="A9"/>
  <c r="CX9"/>
  <c r="CY9"/>
  <c r="CZ9"/>
  <c r="DA9"/>
  <c r="A10"/>
  <c r="CX10"/>
  <c r="CY10"/>
  <c r="CZ10"/>
  <c r="DA10"/>
  <c r="A11"/>
  <c r="CX11"/>
  <c r="CY11"/>
  <c r="CZ11"/>
  <c r="DA11"/>
  <c r="A12"/>
  <c r="CX12"/>
  <c r="CY12"/>
  <c r="CZ12"/>
  <c r="DA12"/>
  <c r="A13"/>
  <c r="CX13"/>
  <c r="CY13"/>
  <c r="CZ13"/>
  <c r="DA13"/>
  <c r="A14"/>
  <c r="CX14"/>
  <c r="CY14"/>
  <c r="CZ14"/>
  <c r="DA14"/>
  <c r="A15"/>
  <c r="CX15"/>
  <c r="CY15"/>
  <c r="CZ15"/>
  <c r="DA15"/>
  <c r="A16"/>
  <c r="CX16"/>
  <c r="CY16"/>
  <c r="CZ16"/>
  <c r="DA16"/>
  <c r="A17"/>
  <c r="CX17"/>
  <c r="CY17"/>
  <c r="CZ17"/>
  <c r="DA17"/>
  <c r="A18"/>
  <c r="CX18"/>
  <c r="CY18"/>
  <c r="CZ18"/>
  <c r="DA18"/>
  <c r="A19"/>
  <c r="CX19"/>
  <c r="CY19"/>
  <c r="CZ19"/>
  <c r="DA19"/>
  <c r="A20"/>
  <c r="CX20"/>
  <c r="CY20"/>
  <c r="CZ20"/>
  <c r="DA20"/>
  <c r="A21"/>
  <c r="CX21"/>
  <c r="CY21"/>
  <c r="CZ21"/>
  <c r="DA21"/>
  <c r="A22"/>
  <c r="CX22"/>
  <c r="CY22"/>
  <c r="CZ22"/>
  <c r="DA22"/>
  <c r="A23"/>
  <c r="CX23"/>
  <c r="CY23"/>
  <c r="CZ23"/>
  <c r="DA23"/>
  <c r="A24"/>
  <c r="CX24"/>
  <c r="CY24"/>
  <c r="CZ24"/>
  <c r="DA24"/>
  <c r="A25"/>
  <c r="CX25"/>
  <c r="CY25"/>
  <c r="CZ25"/>
  <c r="DA25"/>
  <c r="A26"/>
  <c r="CX26"/>
  <c r="CY26"/>
  <c r="CZ26"/>
  <c r="DA26"/>
  <c r="A27"/>
  <c r="CX27"/>
  <c r="CY27"/>
  <c r="CZ27"/>
  <c r="DA27"/>
  <c r="A28"/>
  <c r="CX28"/>
  <c r="CY28"/>
  <c r="CZ28"/>
  <c r="DA28"/>
  <c r="A29"/>
  <c r="CX29"/>
  <c r="CY29"/>
  <c r="CZ29"/>
  <c r="DA29"/>
  <c r="A30"/>
  <c r="CX30"/>
  <c r="CY30"/>
  <c r="CZ30"/>
  <c r="DA30"/>
  <c r="A31"/>
  <c r="CX31"/>
  <c r="CY31"/>
  <c r="CZ31"/>
  <c r="DA31"/>
  <c r="A32"/>
  <c r="CX32"/>
  <c r="CY32"/>
  <c r="CZ32"/>
  <c r="DA32"/>
  <c r="A33"/>
  <c r="CX33"/>
  <c r="CY33"/>
  <c r="CZ33"/>
  <c r="DA33"/>
  <c r="A34"/>
  <c r="CX34"/>
  <c r="CY34"/>
  <c r="CZ34"/>
  <c r="DA34"/>
  <c r="A35"/>
  <c r="CX35"/>
  <c r="CY35"/>
  <c r="CZ35"/>
  <c r="DA35"/>
  <c r="A36"/>
  <c r="CX36"/>
  <c r="CY36"/>
  <c r="CZ36"/>
  <c r="DA36"/>
  <c r="A37"/>
  <c r="CX37"/>
  <c r="CY37"/>
  <c r="CZ37"/>
  <c r="DA37"/>
  <c r="A38"/>
  <c r="CX38"/>
  <c r="CY38"/>
  <c r="CZ38"/>
  <c r="DA38"/>
  <c r="A39"/>
  <c r="CX39"/>
  <c r="CY39"/>
  <c r="CZ39"/>
  <c r="DA39"/>
  <c r="A40"/>
  <c r="CX40"/>
  <c r="CY40"/>
  <c r="CZ40"/>
  <c r="DA40"/>
  <c r="A41"/>
  <c r="CX41"/>
  <c r="CY41"/>
  <c r="CZ41"/>
  <c r="DA41"/>
  <c r="A42"/>
  <c r="CX42"/>
  <c r="CY42"/>
  <c r="CZ42"/>
  <c r="DA42"/>
  <c r="A43"/>
  <c r="CX43"/>
  <c r="CY43"/>
  <c r="CZ43"/>
  <c r="DA43"/>
  <c r="A44"/>
  <c r="CX44"/>
  <c r="CY44"/>
  <c r="CZ44"/>
  <c r="DA44"/>
  <c r="A45"/>
  <c r="CX45"/>
  <c r="CY45"/>
  <c r="CZ45"/>
  <c r="DA45"/>
  <c r="A46"/>
  <c r="CX46"/>
  <c r="CY46"/>
  <c r="CZ46"/>
  <c r="DA46"/>
  <c r="A47"/>
  <c r="CX47"/>
  <c r="CY47"/>
  <c r="CZ47"/>
  <c r="DA47"/>
  <c r="A48"/>
  <c r="CX48"/>
  <c r="CY48"/>
  <c r="CZ48"/>
  <c r="DA48"/>
  <c r="A49"/>
  <c r="CX49"/>
  <c r="CY49"/>
  <c r="CZ49"/>
  <c r="DA49"/>
  <c r="A50"/>
  <c r="CX50"/>
  <c r="CY50"/>
  <c r="CZ50"/>
  <c r="DA50"/>
  <c r="A51"/>
  <c r="CX51"/>
  <c r="CY51"/>
  <c r="CZ51"/>
  <c r="DA51"/>
  <c r="A52"/>
  <c r="CX52"/>
  <c r="CY52"/>
  <c r="CZ52"/>
  <c r="DA52"/>
  <c r="A53"/>
  <c r="CX53"/>
  <c r="CY53"/>
  <c r="CZ53"/>
  <c r="DA53"/>
  <c r="A54"/>
  <c r="CX54"/>
  <c r="CY54"/>
  <c r="CZ54"/>
  <c r="DA54"/>
  <c r="A55"/>
  <c r="CX55"/>
  <c r="CY55"/>
  <c r="CZ55"/>
  <c r="DA55"/>
  <c r="A56"/>
  <c r="CX56"/>
  <c r="CY56"/>
  <c r="CZ56"/>
  <c r="DA56"/>
  <c r="A57"/>
  <c r="CX57"/>
  <c r="CY57"/>
  <c r="CZ57"/>
  <c r="DA57"/>
  <c r="A58"/>
  <c r="CX58"/>
  <c r="CY58"/>
  <c r="CZ58"/>
  <c r="DA58"/>
  <c r="A59"/>
  <c r="CX59"/>
  <c r="CY59"/>
  <c r="CZ59"/>
  <c r="DA59"/>
  <c r="A60"/>
  <c r="CX60"/>
  <c r="CY60"/>
  <c r="CZ60"/>
  <c r="DA60"/>
  <c r="A61"/>
  <c r="CX61"/>
  <c r="CY61"/>
  <c r="CZ61"/>
  <c r="DA61"/>
  <c r="A62"/>
  <c r="CX62"/>
  <c r="CY62"/>
  <c r="CZ62"/>
  <c r="DA62"/>
  <c r="A63"/>
  <c r="CX63"/>
  <c r="CY63"/>
  <c r="CZ63"/>
  <c r="DA63"/>
  <c r="A64"/>
  <c r="CX64"/>
  <c r="CY64"/>
  <c r="CZ64"/>
  <c r="DA64"/>
  <c r="A65"/>
  <c r="CX65"/>
  <c r="CY65"/>
  <c r="CZ65"/>
  <c r="DA65"/>
  <c r="A66"/>
  <c r="CX66"/>
  <c r="CY66"/>
  <c r="CZ66"/>
  <c r="DA66"/>
  <c r="A67"/>
  <c r="CX67"/>
  <c r="CY67"/>
  <c r="CZ67"/>
  <c r="DA67"/>
  <c r="A68"/>
  <c r="CX68"/>
  <c r="CY68"/>
  <c r="CZ68"/>
  <c r="DA68"/>
  <c r="A69"/>
  <c r="CX69"/>
  <c r="CY69"/>
  <c r="CZ69"/>
  <c r="DA69"/>
  <c r="A70"/>
  <c r="CX70"/>
  <c r="CY70"/>
  <c r="CZ70"/>
  <c r="DA70"/>
  <c r="A71"/>
  <c r="CX71"/>
  <c r="CY71"/>
  <c r="CZ71"/>
  <c r="DA71"/>
  <c r="A72"/>
  <c r="CX72"/>
  <c r="CY72"/>
  <c r="CZ72"/>
  <c r="DA72"/>
  <c r="A73"/>
  <c r="CX73"/>
  <c r="CY73"/>
  <c r="CZ73"/>
  <c r="DA73"/>
  <c r="A74"/>
  <c r="CX74"/>
  <c r="CY74"/>
  <c r="CZ74"/>
  <c r="DA74"/>
  <c r="A75"/>
  <c r="CX75"/>
  <c r="CY75"/>
  <c r="CZ75"/>
  <c r="DA75"/>
  <c r="A76"/>
  <c r="CX76"/>
  <c r="CY76"/>
  <c r="CZ76"/>
  <c r="DA76"/>
  <c r="A77"/>
  <c r="CX77"/>
  <c r="CY77"/>
  <c r="CZ77"/>
  <c r="DA77"/>
  <c r="A78"/>
  <c r="CX78"/>
  <c r="CY78"/>
  <c r="CZ78"/>
  <c r="DA78"/>
  <c r="A79"/>
  <c r="CX79"/>
  <c r="CY79"/>
  <c r="CZ79"/>
  <c r="DA79"/>
  <c r="A80"/>
  <c r="CX80"/>
  <c r="CY80"/>
  <c r="CZ80"/>
  <c r="DA80"/>
  <c r="A81"/>
  <c r="CX81"/>
  <c r="CY81"/>
  <c r="CZ81"/>
  <c r="DA81"/>
  <c r="A82"/>
  <c r="CX82"/>
  <c r="CY82"/>
  <c r="CZ82"/>
  <c r="DA82"/>
  <c r="A83"/>
  <c r="CX83"/>
  <c r="CY83"/>
  <c r="CZ83"/>
  <c r="DA83"/>
  <c r="A84"/>
  <c r="CX84"/>
  <c r="CY84"/>
  <c r="CZ84"/>
  <c r="DA84"/>
  <c r="A85"/>
  <c r="CX85"/>
  <c r="CY85"/>
  <c r="CZ85"/>
  <c r="DA85"/>
  <c r="A86"/>
  <c r="CX86"/>
  <c r="CY86"/>
  <c r="CZ86"/>
  <c r="DA86"/>
  <c r="A87"/>
  <c r="CX87"/>
  <c r="CY87"/>
  <c r="CZ87"/>
  <c r="DA87"/>
  <c r="D12" i="1"/>
  <c r="E18"/>
  <c r="Z18"/>
  <c r="AA18"/>
  <c r="AB18"/>
  <c r="AC18"/>
  <c r="AD18"/>
  <c r="AE18"/>
  <c r="AF18"/>
  <c r="AG18"/>
  <c r="AH18"/>
  <c r="AI18"/>
  <c r="AJ18"/>
  <c r="AK18"/>
  <c r="AL18"/>
  <c r="AM18"/>
  <c r="AN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BZ18"/>
  <c r="CA18"/>
  <c r="CB18"/>
  <c r="CC18"/>
  <c r="CD18"/>
  <c r="CE18"/>
  <c r="CF18"/>
  <c r="CG18"/>
  <c r="CH18"/>
  <c r="CI18"/>
  <c r="CJ18"/>
  <c r="CK18"/>
  <c r="CL18"/>
  <c r="CM18"/>
  <c r="CN18"/>
  <c r="CO18"/>
  <c r="CP18"/>
  <c r="CQ18"/>
  <c r="CR18"/>
  <c r="CS18"/>
  <c r="CT18"/>
  <c r="CU18"/>
  <c r="CV18"/>
  <c r="CW18"/>
  <c r="CX18"/>
  <c r="CY18"/>
  <c r="CZ18"/>
  <c r="DA18"/>
  <c r="DB18"/>
  <c r="DC18"/>
  <c r="DD18"/>
  <c r="DE18"/>
  <c r="DF18"/>
  <c r="DG18"/>
  <c r="DH18"/>
  <c r="DI18"/>
  <c r="DJ18"/>
  <c r="DK18"/>
  <c r="DL18"/>
  <c r="DM18"/>
  <c r="DN18"/>
  <c r="DO18"/>
  <c r="DP18"/>
  <c r="DQ18"/>
  <c r="DR18"/>
  <c r="DS18"/>
  <c r="DT18"/>
  <c r="DU18"/>
  <c r="DV18"/>
  <c r="DW18"/>
  <c r="DX18"/>
  <c r="DY18"/>
  <c r="DZ18"/>
  <c r="EA18"/>
  <c r="EB18"/>
  <c r="EC18"/>
  <c r="ED18"/>
  <c r="EE18"/>
  <c r="EF18"/>
  <c r="EG18"/>
  <c r="EH18"/>
  <c r="EI18"/>
  <c r="EJ18"/>
  <c r="EK18"/>
  <c r="EL18"/>
  <c r="EM18"/>
  <c r="EN18"/>
  <c r="EO18"/>
  <c r="EP18"/>
  <c r="EQ18"/>
  <c r="ER18"/>
  <c r="ES18"/>
  <c r="ET18"/>
  <c r="EU18"/>
  <c r="EV18"/>
  <c r="EW18"/>
  <c r="EX18"/>
  <c r="EY18"/>
  <c r="EZ18"/>
  <c r="FA18"/>
  <c r="FB18"/>
  <c r="FC18"/>
  <c r="FD18"/>
  <c r="FE18"/>
  <c r="FF18"/>
  <c r="FG18"/>
  <c r="FH18"/>
  <c r="FI18"/>
  <c r="FJ18"/>
  <c r="FK18"/>
  <c r="FL18"/>
  <c r="FM18"/>
  <c r="FN18"/>
  <c r="FO18"/>
  <c r="FP18"/>
  <c r="FQ18"/>
  <c r="FR18"/>
  <c r="FS18"/>
  <c r="FT18"/>
  <c r="FU18"/>
  <c r="FV18"/>
  <c r="FW18"/>
  <c r="FX18"/>
  <c r="FY18"/>
  <c r="FZ18"/>
  <c r="GA18"/>
  <c r="GB18"/>
  <c r="GC18"/>
  <c r="GD18"/>
  <c r="GE18"/>
  <c r="GF18"/>
  <c r="GG18"/>
  <c r="GH18"/>
  <c r="GI18"/>
  <c r="GJ18"/>
  <c r="GK18"/>
  <c r="GL18"/>
  <c r="GM18"/>
  <c r="GN18"/>
  <c r="GO18"/>
  <c r="GP18"/>
  <c r="GQ18"/>
  <c r="GR18"/>
  <c r="GS18"/>
  <c r="GT18"/>
  <c r="GU18"/>
  <c r="GV18"/>
  <c r="GW18"/>
  <c r="GX18"/>
  <c r="D20"/>
  <c r="E22"/>
  <c r="Z22"/>
  <c r="AA22"/>
  <c r="AM22"/>
  <c r="AN22"/>
  <c r="BD22"/>
  <c r="BE22"/>
  <c r="BF22"/>
  <c r="BG22"/>
  <c r="BH22"/>
  <c r="BI22"/>
  <c r="BJ22"/>
  <c r="BK22"/>
  <c r="BL22"/>
  <c r="BM22"/>
  <c r="BN22"/>
  <c r="BO22"/>
  <c r="BP22"/>
  <c r="BQ22"/>
  <c r="BR22"/>
  <c r="BS22"/>
  <c r="BT22"/>
  <c r="BU22"/>
  <c r="BV22"/>
  <c r="BW22"/>
  <c r="CM22"/>
  <c r="CN22"/>
  <c r="CO22"/>
  <c r="CP22"/>
  <c r="CQ22"/>
  <c r="CR22"/>
  <c r="CS22"/>
  <c r="CT22"/>
  <c r="CU22"/>
  <c r="CV22"/>
  <c r="CW22"/>
  <c r="CX22"/>
  <c r="CY22"/>
  <c r="CZ22"/>
  <c r="DA22"/>
  <c r="DB22"/>
  <c r="DC22"/>
  <c r="DD22"/>
  <c r="DE22"/>
  <c r="DF22"/>
  <c r="DG22"/>
  <c r="DH22"/>
  <c r="DI22"/>
  <c r="DJ22"/>
  <c r="DK22"/>
  <c r="DL22"/>
  <c r="DM22"/>
  <c r="DN22"/>
  <c r="DO22"/>
  <c r="DP22"/>
  <c r="DQ22"/>
  <c r="DR22"/>
  <c r="DS22"/>
  <c r="DT22"/>
  <c r="DU22"/>
  <c r="DV22"/>
  <c r="DW22"/>
  <c r="DX22"/>
  <c r="DY22"/>
  <c r="DZ22"/>
  <c r="EA22"/>
  <c r="EB22"/>
  <c r="EC22"/>
  <c r="ED22"/>
  <c r="EE22"/>
  <c r="EF22"/>
  <c r="EG22"/>
  <c r="EH22"/>
  <c r="EI22"/>
  <c r="EJ22"/>
  <c r="EK22"/>
  <c r="EL22"/>
  <c r="EM22"/>
  <c r="EN22"/>
  <c r="EO22"/>
  <c r="EP22"/>
  <c r="EQ22"/>
  <c r="ER22"/>
  <c r="ES22"/>
  <c r="ET22"/>
  <c r="EU22"/>
  <c r="EV22"/>
  <c r="EW22"/>
  <c r="EX22"/>
  <c r="EY22"/>
  <c r="EZ22"/>
  <c r="FA22"/>
  <c r="FB22"/>
  <c r="FC22"/>
  <c r="FD22"/>
  <c r="FE22"/>
  <c r="FF22"/>
  <c r="FG22"/>
  <c r="FH22"/>
  <c r="FI22"/>
  <c r="FJ22"/>
  <c r="FK22"/>
  <c r="FL22"/>
  <c r="FM22"/>
  <c r="FN22"/>
  <c r="FO22"/>
  <c r="FP22"/>
  <c r="FQ22"/>
  <c r="FR22"/>
  <c r="FS22"/>
  <c r="FT22"/>
  <c r="FU22"/>
  <c r="FV22"/>
  <c r="FW22"/>
  <c r="FX22"/>
  <c r="FY22"/>
  <c r="FZ22"/>
  <c r="GA22"/>
  <c r="GB22"/>
  <c r="GC22"/>
  <c r="GD22"/>
  <c r="GE22"/>
  <c r="GF22"/>
  <c r="GG22"/>
  <c r="GH22"/>
  <c r="GI22"/>
  <c r="GJ22"/>
  <c r="GK22"/>
  <c r="GL22"/>
  <c r="GM22"/>
  <c r="GN22"/>
  <c r="GO22"/>
  <c r="GP22"/>
  <c r="GQ22"/>
  <c r="GR22"/>
  <c r="GS22"/>
  <c r="GT22"/>
  <c r="GU22"/>
  <c r="GV22"/>
  <c r="GW22"/>
  <c r="GX22"/>
  <c r="C24"/>
  <c r="D24"/>
  <c r="AC24"/>
  <c r="AE24"/>
  <c r="AF24"/>
  <c r="CT24" s="1"/>
  <c r="S24" s="1"/>
  <c r="AG24"/>
  <c r="AH24"/>
  <c r="AI24"/>
  <c r="CW24" s="1"/>
  <c r="V24" s="1"/>
  <c r="AJ24"/>
  <c r="CX24" s="1"/>
  <c r="W24" s="1"/>
  <c r="CQ24"/>
  <c r="P24" s="1"/>
  <c r="CU24"/>
  <c r="T24" s="1"/>
  <c r="CV24"/>
  <c r="U24" s="1"/>
  <c r="FR24"/>
  <c r="GL24"/>
  <c r="GO24"/>
  <c r="GP24"/>
  <c r="GV24"/>
  <c r="GX24" s="1"/>
  <c r="I25"/>
  <c r="X25"/>
  <c r="AC25"/>
  <c r="AB25" s="1"/>
  <c r="AD25"/>
  <c r="CR25" s="1"/>
  <c r="Q25" s="1"/>
  <c r="AE25"/>
  <c r="CS25" s="1"/>
  <c r="R25" s="1"/>
  <c r="GK25" s="1"/>
  <c r="AF25"/>
  <c r="AG25"/>
  <c r="AH25"/>
  <c r="CV25" s="1"/>
  <c r="U25" s="1"/>
  <c r="AI25"/>
  <c r="CW25" s="1"/>
  <c r="V25" s="1"/>
  <c r="AJ25"/>
  <c r="CQ25"/>
  <c r="P25" s="1"/>
  <c r="CP25" s="1"/>
  <c r="O25" s="1"/>
  <c r="CT25"/>
  <c r="S25" s="1"/>
  <c r="CZ25" s="1"/>
  <c r="Y25" s="1"/>
  <c r="CU25"/>
  <c r="T25" s="1"/>
  <c r="CX25"/>
  <c r="W25" s="1"/>
  <c r="CY25"/>
  <c r="FR25"/>
  <c r="GL25"/>
  <c r="GO25"/>
  <c r="GP25"/>
  <c r="GV25"/>
  <c r="GX25" s="1"/>
  <c r="C26"/>
  <c r="D26"/>
  <c r="R26"/>
  <c r="GK26" s="1"/>
  <c r="AC26"/>
  <c r="CQ26" s="1"/>
  <c r="P26" s="1"/>
  <c r="AE26"/>
  <c r="AD26" s="1"/>
  <c r="AF26"/>
  <c r="CT26" s="1"/>
  <c r="S26" s="1"/>
  <c r="AG26"/>
  <c r="CU26" s="1"/>
  <c r="T26" s="1"/>
  <c r="AH26"/>
  <c r="AI26"/>
  <c r="AJ26"/>
  <c r="CX26" s="1"/>
  <c r="W26" s="1"/>
  <c r="CS26"/>
  <c r="CV26"/>
  <c r="U26" s="1"/>
  <c r="CW26"/>
  <c r="V26" s="1"/>
  <c r="FR26"/>
  <c r="GL26"/>
  <c r="GO26"/>
  <c r="GP26"/>
  <c r="GV26"/>
  <c r="GX26"/>
  <c r="C27"/>
  <c r="D27"/>
  <c r="AC27"/>
  <c r="AB27" s="1"/>
  <c r="AD27"/>
  <c r="CR27" s="1"/>
  <c r="Q27" s="1"/>
  <c r="AE27"/>
  <c r="CS27" s="1"/>
  <c r="R27" s="1"/>
  <c r="AF27"/>
  <c r="AG27"/>
  <c r="AH27"/>
  <c r="CV27" s="1"/>
  <c r="U27" s="1"/>
  <c r="AI27"/>
  <c r="CW27" s="1"/>
  <c r="V27" s="1"/>
  <c r="AJ27"/>
  <c r="CQ27"/>
  <c r="P27" s="1"/>
  <c r="CP27" s="1"/>
  <c r="O27" s="1"/>
  <c r="CT27"/>
  <c r="S27" s="1"/>
  <c r="CU27"/>
  <c r="T27" s="1"/>
  <c r="CX27"/>
  <c r="W27" s="1"/>
  <c r="FR27"/>
  <c r="GL27"/>
  <c r="GO27"/>
  <c r="GP27"/>
  <c r="GV27"/>
  <c r="GX27" s="1"/>
  <c r="I28"/>
  <c r="AC28"/>
  <c r="AD28"/>
  <c r="CR28" s="1"/>
  <c r="Q28" s="1"/>
  <c r="AE28"/>
  <c r="AF28"/>
  <c r="AG28"/>
  <c r="CU28" s="1"/>
  <c r="T28" s="1"/>
  <c r="AH28"/>
  <c r="CV28" s="1"/>
  <c r="U28" s="1"/>
  <c r="AI28"/>
  <c r="AJ28"/>
  <c r="CS28"/>
  <c r="R28" s="1"/>
  <c r="GK28" s="1"/>
  <c r="CT28"/>
  <c r="S28" s="1"/>
  <c r="CW28"/>
  <c r="V28" s="1"/>
  <c r="CX28"/>
  <c r="W28" s="1"/>
  <c r="FR28"/>
  <c r="GL28"/>
  <c r="GO28"/>
  <c r="GP28"/>
  <c r="GV28"/>
  <c r="GX28"/>
  <c r="I29"/>
  <c r="GX29" s="1"/>
  <c r="R29"/>
  <c r="GK29" s="1"/>
  <c r="AC29"/>
  <c r="CQ29" s="1"/>
  <c r="AE29"/>
  <c r="AD29" s="1"/>
  <c r="AF29"/>
  <c r="CT29" s="1"/>
  <c r="AG29"/>
  <c r="CU29" s="1"/>
  <c r="AH29"/>
  <c r="AI29"/>
  <c r="AJ29"/>
  <c r="CX29" s="1"/>
  <c r="CS29"/>
  <c r="CV29"/>
  <c r="CW29"/>
  <c r="V29" s="1"/>
  <c r="FR29"/>
  <c r="GL29"/>
  <c r="GO29"/>
  <c r="GP29"/>
  <c r="GV29"/>
  <c r="C30"/>
  <c r="D30"/>
  <c r="AC30"/>
  <c r="AB30" s="1"/>
  <c r="AD30"/>
  <c r="CR30" s="1"/>
  <c r="Q30" s="1"/>
  <c r="AE30"/>
  <c r="CS30" s="1"/>
  <c r="R30" s="1"/>
  <c r="AF30"/>
  <c r="AG30"/>
  <c r="AH30"/>
  <c r="CV30" s="1"/>
  <c r="U30" s="1"/>
  <c r="AI30"/>
  <c r="CW30" s="1"/>
  <c r="V30" s="1"/>
  <c r="AJ30"/>
  <c r="CQ30"/>
  <c r="P30" s="1"/>
  <c r="CP30" s="1"/>
  <c r="O30" s="1"/>
  <c r="CT30"/>
  <c r="S30" s="1"/>
  <c r="CU30"/>
  <c r="T30" s="1"/>
  <c r="CX30"/>
  <c r="W30" s="1"/>
  <c r="FR30"/>
  <c r="GL30"/>
  <c r="GO30"/>
  <c r="GP30"/>
  <c r="GV30"/>
  <c r="GX30"/>
  <c r="C31"/>
  <c r="D31"/>
  <c r="P31"/>
  <c r="R31"/>
  <c r="GK31" s="1"/>
  <c r="AC31"/>
  <c r="AD31"/>
  <c r="CR31" s="1"/>
  <c r="Q31" s="1"/>
  <c r="AE31"/>
  <c r="AF31"/>
  <c r="CT31" s="1"/>
  <c r="S31" s="1"/>
  <c r="AG31"/>
  <c r="AH31"/>
  <c r="CV31" s="1"/>
  <c r="U31" s="1"/>
  <c r="AI31"/>
  <c r="AJ31"/>
  <c r="CX31" s="1"/>
  <c r="W31" s="1"/>
  <c r="CQ31"/>
  <c r="CS31"/>
  <c r="CU31"/>
  <c r="T31" s="1"/>
  <c r="CW31"/>
  <c r="V31" s="1"/>
  <c r="FR31"/>
  <c r="GL31"/>
  <c r="GO31"/>
  <c r="GP31"/>
  <c r="GV31"/>
  <c r="GX31"/>
  <c r="I32"/>
  <c r="S32"/>
  <c r="AC32"/>
  <c r="AE32"/>
  <c r="AF32"/>
  <c r="AG32"/>
  <c r="CU32" s="1"/>
  <c r="T32" s="1"/>
  <c r="AH32"/>
  <c r="AI32"/>
  <c r="CW32" s="1"/>
  <c r="V32" s="1"/>
  <c r="AJ32"/>
  <c r="CT32"/>
  <c r="CV32"/>
  <c r="U32" s="1"/>
  <c r="CX32"/>
  <c r="W32" s="1"/>
  <c r="FR32"/>
  <c r="GL32"/>
  <c r="GO32"/>
  <c r="GP32"/>
  <c r="GV32"/>
  <c r="GX32" s="1"/>
  <c r="I33"/>
  <c r="T33"/>
  <c r="AC33"/>
  <c r="AD33"/>
  <c r="CR33" s="1"/>
  <c r="Q33" s="1"/>
  <c r="AE33"/>
  <c r="AF33"/>
  <c r="AB33" s="1"/>
  <c r="AG33"/>
  <c r="CU33" s="1"/>
  <c r="AH33"/>
  <c r="CV33" s="1"/>
  <c r="U33" s="1"/>
  <c r="AI33"/>
  <c r="AJ33"/>
  <c r="CQ33"/>
  <c r="P33" s="1"/>
  <c r="CP33" s="1"/>
  <c r="O33" s="1"/>
  <c r="CS33"/>
  <c r="CT33"/>
  <c r="S33" s="1"/>
  <c r="CW33"/>
  <c r="V33" s="1"/>
  <c r="CX33"/>
  <c r="W33" s="1"/>
  <c r="FR33"/>
  <c r="GL33"/>
  <c r="GO33"/>
  <c r="GP33"/>
  <c r="GV33"/>
  <c r="GX33"/>
  <c r="I34"/>
  <c r="U34"/>
  <c r="AC34"/>
  <c r="CQ34" s="1"/>
  <c r="P34" s="1"/>
  <c r="AE34"/>
  <c r="AD34" s="1"/>
  <c r="AB34" s="1"/>
  <c r="AF34"/>
  <c r="CT34" s="1"/>
  <c r="S34" s="1"/>
  <c r="CZ34" s="1"/>
  <c r="Y34" s="1"/>
  <c r="AG34"/>
  <c r="CU34" s="1"/>
  <c r="T34" s="1"/>
  <c r="AH34"/>
  <c r="AI34"/>
  <c r="AJ34"/>
  <c r="CX34" s="1"/>
  <c r="W34" s="1"/>
  <c r="CS34"/>
  <c r="R34" s="1"/>
  <c r="GK34" s="1"/>
  <c r="CV34"/>
  <c r="CW34"/>
  <c r="V34" s="1"/>
  <c r="FR34"/>
  <c r="GL34"/>
  <c r="GO34"/>
  <c r="GP34"/>
  <c r="GV34"/>
  <c r="GX34" s="1"/>
  <c r="C35"/>
  <c r="D35"/>
  <c r="S35"/>
  <c r="AC35"/>
  <c r="AD35"/>
  <c r="CR35" s="1"/>
  <c r="Q35" s="1"/>
  <c r="AE35"/>
  <c r="CS35" s="1"/>
  <c r="R35" s="1"/>
  <c r="GK35" s="1"/>
  <c r="AF35"/>
  <c r="AG35"/>
  <c r="CU35" s="1"/>
  <c r="T35" s="1"/>
  <c r="AH35"/>
  <c r="CV35" s="1"/>
  <c r="U35" s="1"/>
  <c r="AI35"/>
  <c r="CW35" s="1"/>
  <c r="V35" s="1"/>
  <c r="AJ35"/>
  <c r="CT35"/>
  <c r="CX35"/>
  <c r="W35" s="1"/>
  <c r="FR35"/>
  <c r="GL35"/>
  <c r="GO35"/>
  <c r="GP35"/>
  <c r="GV35"/>
  <c r="GX35" s="1"/>
  <c r="C36"/>
  <c r="D36"/>
  <c r="W36"/>
  <c r="AC36"/>
  <c r="CQ36" s="1"/>
  <c r="P36" s="1"/>
  <c r="AE36"/>
  <c r="AD36" s="1"/>
  <c r="AF36"/>
  <c r="AG36"/>
  <c r="CU36" s="1"/>
  <c r="T36" s="1"/>
  <c r="AH36"/>
  <c r="AI36"/>
  <c r="CW36" s="1"/>
  <c r="V36" s="1"/>
  <c r="AJ36"/>
  <c r="CS36"/>
  <c r="R36" s="1"/>
  <c r="GK36" s="1"/>
  <c r="CT36"/>
  <c r="S36" s="1"/>
  <c r="CV36"/>
  <c r="U36" s="1"/>
  <c r="CX36"/>
  <c r="FR36"/>
  <c r="GL36"/>
  <c r="GO36"/>
  <c r="GP36"/>
  <c r="GV36"/>
  <c r="GX36"/>
  <c r="I37"/>
  <c r="P37"/>
  <c r="R37"/>
  <c r="GK37" s="1"/>
  <c r="AC37"/>
  <c r="AD37"/>
  <c r="AE37"/>
  <c r="AF37"/>
  <c r="CT37" s="1"/>
  <c r="S37" s="1"/>
  <c r="CY37" s="1"/>
  <c r="X37" s="1"/>
  <c r="AG37"/>
  <c r="AH37"/>
  <c r="CV37" s="1"/>
  <c r="U37" s="1"/>
  <c r="AI37"/>
  <c r="AJ37"/>
  <c r="CX37" s="1"/>
  <c r="W37" s="1"/>
  <c r="CQ37"/>
  <c r="CR37"/>
  <c r="Q37" s="1"/>
  <c r="CS37"/>
  <c r="CU37"/>
  <c r="T37" s="1"/>
  <c r="CW37"/>
  <c r="V37" s="1"/>
  <c r="CZ37"/>
  <c r="Y37" s="1"/>
  <c r="FR37"/>
  <c r="GL37"/>
  <c r="GO37"/>
  <c r="GP37"/>
  <c r="GV37"/>
  <c r="GX37"/>
  <c r="C38"/>
  <c r="D38"/>
  <c r="S38"/>
  <c r="V38"/>
  <c r="AC38"/>
  <c r="AD38"/>
  <c r="CR38" s="1"/>
  <c r="Q38" s="1"/>
  <c r="AE38"/>
  <c r="AF38"/>
  <c r="AG38"/>
  <c r="AH38"/>
  <c r="CV38" s="1"/>
  <c r="U38" s="1"/>
  <c r="AI38"/>
  <c r="AJ38"/>
  <c r="CS38"/>
  <c r="R38" s="1"/>
  <c r="GK38" s="1"/>
  <c r="CT38"/>
  <c r="CU38"/>
  <c r="T38" s="1"/>
  <c r="CW38"/>
  <c r="CX38"/>
  <c r="W38" s="1"/>
  <c r="FR38"/>
  <c r="GL38"/>
  <c r="GO38"/>
  <c r="GP38"/>
  <c r="GV38"/>
  <c r="GX38"/>
  <c r="C39"/>
  <c r="D39"/>
  <c r="P39"/>
  <c r="R39"/>
  <c r="AC39"/>
  <c r="AD39"/>
  <c r="AB39" s="1"/>
  <c r="AE39"/>
  <c r="AF39"/>
  <c r="CT39" s="1"/>
  <c r="S39" s="1"/>
  <c r="AG39"/>
  <c r="AH39"/>
  <c r="CV39" s="1"/>
  <c r="U39" s="1"/>
  <c r="AI39"/>
  <c r="AJ39"/>
  <c r="CX39" s="1"/>
  <c r="W39" s="1"/>
  <c r="CQ39"/>
  <c r="CR39"/>
  <c r="Q39" s="1"/>
  <c r="CS39"/>
  <c r="CU39"/>
  <c r="T39" s="1"/>
  <c r="CW39"/>
  <c r="V39" s="1"/>
  <c r="FR39"/>
  <c r="GL39"/>
  <c r="GO39"/>
  <c r="GP39"/>
  <c r="GV39"/>
  <c r="GX39"/>
  <c r="I40"/>
  <c r="T40"/>
  <c r="W40"/>
  <c r="Y40"/>
  <c r="AC40"/>
  <c r="AD40"/>
  <c r="CR40" s="1"/>
  <c r="Q40" s="1"/>
  <c r="AE40"/>
  <c r="CS40" s="1"/>
  <c r="R40" s="1"/>
  <c r="AF40"/>
  <c r="AG40"/>
  <c r="AH40"/>
  <c r="AI40"/>
  <c r="CW40" s="1"/>
  <c r="V40" s="1"/>
  <c r="AJ40"/>
  <c r="CQ40"/>
  <c r="P40" s="1"/>
  <c r="CP40" s="1"/>
  <c r="O40" s="1"/>
  <c r="CT40"/>
  <c r="S40" s="1"/>
  <c r="CZ40" s="1"/>
  <c r="CU40"/>
  <c r="CV40"/>
  <c r="U40" s="1"/>
  <c r="CX40"/>
  <c r="CY40"/>
  <c r="X40" s="1"/>
  <c r="FR40"/>
  <c r="GK40"/>
  <c r="GL40"/>
  <c r="GO40"/>
  <c r="GP40"/>
  <c r="GV40"/>
  <c r="GX40" s="1"/>
  <c r="I41"/>
  <c r="R41"/>
  <c r="T41"/>
  <c r="AC41"/>
  <c r="AD41"/>
  <c r="AE41"/>
  <c r="AF41"/>
  <c r="AG41"/>
  <c r="AH41"/>
  <c r="CV41" s="1"/>
  <c r="U41" s="1"/>
  <c r="AI41"/>
  <c r="AJ41"/>
  <c r="CX41" s="1"/>
  <c r="W41" s="1"/>
  <c r="CQ41"/>
  <c r="P41" s="1"/>
  <c r="CS41"/>
  <c r="CT41"/>
  <c r="S41" s="1"/>
  <c r="CU41"/>
  <c r="CW41"/>
  <c r="V41" s="1"/>
  <c r="FR41"/>
  <c r="GK41"/>
  <c r="GL41"/>
  <c r="GO41"/>
  <c r="GP41"/>
  <c r="GV41"/>
  <c r="GX41"/>
  <c r="I42"/>
  <c r="R42"/>
  <c r="GK42" s="1"/>
  <c r="AC42"/>
  <c r="AD42"/>
  <c r="CR42" s="1"/>
  <c r="Q42" s="1"/>
  <c r="AE42"/>
  <c r="AF42"/>
  <c r="CT42" s="1"/>
  <c r="S42" s="1"/>
  <c r="AG42"/>
  <c r="AH42"/>
  <c r="CV42" s="1"/>
  <c r="U42" s="1"/>
  <c r="AI42"/>
  <c r="AJ42"/>
  <c r="CX42" s="1"/>
  <c r="W42" s="1"/>
  <c r="CQ42"/>
  <c r="P42" s="1"/>
  <c r="CP42" s="1"/>
  <c r="O42" s="1"/>
  <c r="CS42"/>
  <c r="CU42"/>
  <c r="T42" s="1"/>
  <c r="CW42"/>
  <c r="V42" s="1"/>
  <c r="CY42"/>
  <c r="X42" s="1"/>
  <c r="FR42"/>
  <c r="GL42"/>
  <c r="GO42"/>
  <c r="GP42"/>
  <c r="GV42"/>
  <c r="GX42"/>
  <c r="C43"/>
  <c r="D43"/>
  <c r="T43"/>
  <c r="AC43"/>
  <c r="AD43"/>
  <c r="CR43" s="1"/>
  <c r="Q43" s="1"/>
  <c r="AE43"/>
  <c r="AF43"/>
  <c r="CT43" s="1"/>
  <c r="S43" s="1"/>
  <c r="AG43"/>
  <c r="AH43"/>
  <c r="CV43" s="1"/>
  <c r="U43" s="1"/>
  <c r="AI43"/>
  <c r="AJ43"/>
  <c r="CX43" s="1"/>
  <c r="W43" s="1"/>
  <c r="CQ43"/>
  <c r="P43" s="1"/>
  <c r="CP43" s="1"/>
  <c r="O43" s="1"/>
  <c r="CS43"/>
  <c r="R43" s="1"/>
  <c r="CU43"/>
  <c r="CW43"/>
  <c r="V43" s="1"/>
  <c r="FR43"/>
  <c r="GL43"/>
  <c r="GO43"/>
  <c r="GP43"/>
  <c r="GV43"/>
  <c r="GX43"/>
  <c r="I44"/>
  <c r="U44"/>
  <c r="W44"/>
  <c r="AC44"/>
  <c r="AE44"/>
  <c r="AF44"/>
  <c r="AG44"/>
  <c r="CU44" s="1"/>
  <c r="T44" s="1"/>
  <c r="AH44"/>
  <c r="AI44"/>
  <c r="CW44" s="1"/>
  <c r="V44" s="1"/>
  <c r="AJ44"/>
  <c r="CT44"/>
  <c r="S44" s="1"/>
  <c r="CV44"/>
  <c r="CX44"/>
  <c r="FR44"/>
  <c r="GL44"/>
  <c r="GO44"/>
  <c r="GP44"/>
  <c r="GV44"/>
  <c r="GX44" s="1"/>
  <c r="I45"/>
  <c r="P45"/>
  <c r="CP45" s="1"/>
  <c r="O45" s="1"/>
  <c r="AC45"/>
  <c r="AD45"/>
  <c r="CR45" s="1"/>
  <c r="Q45" s="1"/>
  <c r="AE45"/>
  <c r="AF45"/>
  <c r="CT45" s="1"/>
  <c r="S45" s="1"/>
  <c r="AG45"/>
  <c r="AH45"/>
  <c r="CV45" s="1"/>
  <c r="U45" s="1"/>
  <c r="AI45"/>
  <c r="AJ45"/>
  <c r="CX45" s="1"/>
  <c r="W45" s="1"/>
  <c r="CQ45"/>
  <c r="CS45"/>
  <c r="R45" s="1"/>
  <c r="GK45" s="1"/>
  <c r="CU45"/>
  <c r="T45" s="1"/>
  <c r="CW45"/>
  <c r="V45" s="1"/>
  <c r="FR45"/>
  <c r="GL45"/>
  <c r="GO45"/>
  <c r="GP45"/>
  <c r="GV45"/>
  <c r="GX45"/>
  <c r="I46"/>
  <c r="S46"/>
  <c r="AC46"/>
  <c r="AE46"/>
  <c r="AF46"/>
  <c r="AG46"/>
  <c r="CU46" s="1"/>
  <c r="T46" s="1"/>
  <c r="AH46"/>
  <c r="AI46"/>
  <c r="CW46" s="1"/>
  <c r="V46" s="1"/>
  <c r="AJ46"/>
  <c r="CT46"/>
  <c r="CV46"/>
  <c r="U46" s="1"/>
  <c r="CX46"/>
  <c r="W46" s="1"/>
  <c r="FR46"/>
  <c r="GL46"/>
  <c r="GO46"/>
  <c r="GP46"/>
  <c r="GV46"/>
  <c r="GX46" s="1"/>
  <c r="C47"/>
  <c r="D47"/>
  <c r="Q47"/>
  <c r="AC47"/>
  <c r="AE47"/>
  <c r="AD47" s="1"/>
  <c r="AF47"/>
  <c r="AB47" s="1"/>
  <c r="AG47"/>
  <c r="CU47" s="1"/>
  <c r="T47" s="1"/>
  <c r="AH47"/>
  <c r="AI47"/>
  <c r="AJ47"/>
  <c r="CX47" s="1"/>
  <c r="W47" s="1"/>
  <c r="CQ47"/>
  <c r="P47" s="1"/>
  <c r="CR47"/>
  <c r="CS47"/>
  <c r="R47" s="1"/>
  <c r="GK47" s="1"/>
  <c r="CV47"/>
  <c r="U47" s="1"/>
  <c r="CW47"/>
  <c r="V47" s="1"/>
  <c r="FR47"/>
  <c r="GL47"/>
  <c r="GO47"/>
  <c r="GP47"/>
  <c r="GV47"/>
  <c r="GX47"/>
  <c r="I48"/>
  <c r="AC48"/>
  <c r="AE48"/>
  <c r="CS48" s="1"/>
  <c r="R48" s="1"/>
  <c r="GK48" s="1"/>
  <c r="AF48"/>
  <c r="CT48" s="1"/>
  <c r="S48" s="1"/>
  <c r="AG48"/>
  <c r="AH48"/>
  <c r="AI48"/>
  <c r="CW48" s="1"/>
  <c r="V48" s="1"/>
  <c r="AJ48"/>
  <c r="CX48" s="1"/>
  <c r="W48" s="1"/>
  <c r="CQ48"/>
  <c r="P48" s="1"/>
  <c r="CU48"/>
  <c r="T48" s="1"/>
  <c r="CV48"/>
  <c r="U48" s="1"/>
  <c r="FR48"/>
  <c r="GL48"/>
  <c r="GO48"/>
  <c r="GP48"/>
  <c r="GV48"/>
  <c r="GX48" s="1"/>
  <c r="I49"/>
  <c r="AC49"/>
  <c r="AB49" s="1"/>
  <c r="AD49"/>
  <c r="CR49" s="1"/>
  <c r="Q49" s="1"/>
  <c r="AE49"/>
  <c r="CS49" s="1"/>
  <c r="R49" s="1"/>
  <c r="GK49" s="1"/>
  <c r="AF49"/>
  <c r="AG49"/>
  <c r="AH49"/>
  <c r="CV49" s="1"/>
  <c r="U49" s="1"/>
  <c r="AI49"/>
  <c r="CW49" s="1"/>
  <c r="V49" s="1"/>
  <c r="AJ49"/>
  <c r="CQ49"/>
  <c r="P49" s="1"/>
  <c r="CP49" s="1"/>
  <c r="O49" s="1"/>
  <c r="CT49"/>
  <c r="S49" s="1"/>
  <c r="CU49"/>
  <c r="T49" s="1"/>
  <c r="CX49"/>
  <c r="W49" s="1"/>
  <c r="FR49"/>
  <c r="GL49"/>
  <c r="GO49"/>
  <c r="GP49"/>
  <c r="GV49"/>
  <c r="GX49" s="1"/>
  <c r="I50"/>
  <c r="AC50"/>
  <c r="CQ50" s="1"/>
  <c r="P50" s="1"/>
  <c r="AD50"/>
  <c r="CR50" s="1"/>
  <c r="Q50" s="1"/>
  <c r="AE50"/>
  <c r="AF50"/>
  <c r="AG50"/>
  <c r="CU50" s="1"/>
  <c r="T50" s="1"/>
  <c r="AH50"/>
  <c r="CV50" s="1"/>
  <c r="U50" s="1"/>
  <c r="AI50"/>
  <c r="AJ50"/>
  <c r="CS50"/>
  <c r="R50" s="1"/>
  <c r="GK50" s="1"/>
  <c r="CT50"/>
  <c r="S50" s="1"/>
  <c r="CW50"/>
  <c r="V50" s="1"/>
  <c r="CX50"/>
  <c r="W50" s="1"/>
  <c r="FR50"/>
  <c r="GL50"/>
  <c r="GO50"/>
  <c r="GP50"/>
  <c r="GV50"/>
  <c r="GX50"/>
  <c r="C51"/>
  <c r="D51"/>
  <c r="AC51"/>
  <c r="AE51"/>
  <c r="CS51" s="1"/>
  <c r="R51" s="1"/>
  <c r="GK51" s="1"/>
  <c r="AF51"/>
  <c r="CT51" s="1"/>
  <c r="S51" s="1"/>
  <c r="AG51"/>
  <c r="AH51"/>
  <c r="AI51"/>
  <c r="CW51" s="1"/>
  <c r="V51" s="1"/>
  <c r="AJ51"/>
  <c r="CX51" s="1"/>
  <c r="W51" s="1"/>
  <c r="CQ51"/>
  <c r="P51" s="1"/>
  <c r="CU51"/>
  <c r="T51" s="1"/>
  <c r="CV51"/>
  <c r="U51" s="1"/>
  <c r="FR51"/>
  <c r="GL51"/>
  <c r="GO51"/>
  <c r="GP51"/>
  <c r="GV51"/>
  <c r="GX51" s="1"/>
  <c r="I52"/>
  <c r="AC52"/>
  <c r="AB52" s="1"/>
  <c r="AD52"/>
  <c r="CR52" s="1"/>
  <c r="Q52" s="1"/>
  <c r="AE52"/>
  <c r="CS52" s="1"/>
  <c r="R52" s="1"/>
  <c r="GK52" s="1"/>
  <c r="AF52"/>
  <c r="AG52"/>
  <c r="AH52"/>
  <c r="CV52" s="1"/>
  <c r="U52" s="1"/>
  <c r="AI52"/>
  <c r="CW52" s="1"/>
  <c r="V52" s="1"/>
  <c r="AJ52"/>
  <c r="CQ52"/>
  <c r="P52" s="1"/>
  <c r="CT52"/>
  <c r="S52" s="1"/>
  <c r="CU52"/>
  <c r="T52" s="1"/>
  <c r="CX52"/>
  <c r="W52" s="1"/>
  <c r="FR52"/>
  <c r="GL52"/>
  <c r="GO52"/>
  <c r="GP52"/>
  <c r="GV52"/>
  <c r="GX52" s="1"/>
  <c r="C53"/>
  <c r="D53"/>
  <c r="AC53"/>
  <c r="CQ53" s="1"/>
  <c r="P53" s="1"/>
  <c r="AE53"/>
  <c r="AD53" s="1"/>
  <c r="AF53"/>
  <c r="CT53" s="1"/>
  <c r="S53" s="1"/>
  <c r="AG53"/>
  <c r="CU53" s="1"/>
  <c r="T53" s="1"/>
  <c r="AH53"/>
  <c r="AI53"/>
  <c r="AJ53"/>
  <c r="CX53" s="1"/>
  <c r="W53" s="1"/>
  <c r="CS53"/>
  <c r="R53" s="1"/>
  <c r="GK53" s="1"/>
  <c r="CV53"/>
  <c r="U53" s="1"/>
  <c r="CW53"/>
  <c r="V53" s="1"/>
  <c r="FR53"/>
  <c r="GL53"/>
  <c r="GO53"/>
  <c r="GP53"/>
  <c r="GV53"/>
  <c r="GX53"/>
  <c r="C54"/>
  <c r="D54"/>
  <c r="AC54"/>
  <c r="AB54" s="1"/>
  <c r="AD54"/>
  <c r="CR54" s="1"/>
  <c r="Q54" s="1"/>
  <c r="AE54"/>
  <c r="CS54" s="1"/>
  <c r="R54" s="1"/>
  <c r="GK54" s="1"/>
  <c r="AF54"/>
  <c r="AG54"/>
  <c r="AH54"/>
  <c r="CV54" s="1"/>
  <c r="U54" s="1"/>
  <c r="AI54"/>
  <c r="CW54" s="1"/>
  <c r="V54" s="1"/>
  <c r="AJ54"/>
  <c r="CQ54"/>
  <c r="P54" s="1"/>
  <c r="CP54" s="1"/>
  <c r="O54" s="1"/>
  <c r="CT54"/>
  <c r="S54" s="1"/>
  <c r="CU54"/>
  <c r="T54" s="1"/>
  <c r="CX54"/>
  <c r="W54" s="1"/>
  <c r="FR54"/>
  <c r="GL54"/>
  <c r="GO54"/>
  <c r="GP54"/>
  <c r="GV54"/>
  <c r="GX54" s="1"/>
  <c r="I55"/>
  <c r="AC55"/>
  <c r="CQ55" s="1"/>
  <c r="P55" s="1"/>
  <c r="AD55"/>
  <c r="CR55" s="1"/>
  <c r="Q55" s="1"/>
  <c r="AE55"/>
  <c r="AF55"/>
  <c r="AG55"/>
  <c r="CU55" s="1"/>
  <c r="T55" s="1"/>
  <c r="AH55"/>
  <c r="CV55" s="1"/>
  <c r="U55" s="1"/>
  <c r="AI55"/>
  <c r="AJ55"/>
  <c r="CS55"/>
  <c r="R55" s="1"/>
  <c r="GK55" s="1"/>
  <c r="CT55"/>
  <c r="S55" s="1"/>
  <c r="CW55"/>
  <c r="V55" s="1"/>
  <c r="CX55"/>
  <c r="W55" s="1"/>
  <c r="FR55"/>
  <c r="GL55"/>
  <c r="GO55"/>
  <c r="GP55"/>
  <c r="GV55"/>
  <c r="GX55"/>
  <c r="O56"/>
  <c r="P56"/>
  <c r="Q56"/>
  <c r="R56"/>
  <c r="GK56" s="1"/>
  <c r="S56"/>
  <c r="T56"/>
  <c r="U56"/>
  <c r="V56"/>
  <c r="W56"/>
  <c r="X56"/>
  <c r="Y56"/>
  <c r="AB56"/>
  <c r="AC56"/>
  <c r="AD56"/>
  <c r="AE56"/>
  <c r="AF56"/>
  <c r="AG56"/>
  <c r="AH56"/>
  <c r="AI56"/>
  <c r="AJ56"/>
  <c r="CP56"/>
  <c r="GN56" s="1"/>
  <c r="FR56"/>
  <c r="GL56"/>
  <c r="GM56"/>
  <c r="GO56"/>
  <c r="GP56"/>
  <c r="GV56"/>
  <c r="GX56" s="1"/>
  <c r="O57"/>
  <c r="P57"/>
  <c r="Q57"/>
  <c r="R57"/>
  <c r="S57"/>
  <c r="T57"/>
  <c r="U57"/>
  <c r="V57"/>
  <c r="W57"/>
  <c r="X57"/>
  <c r="Y57"/>
  <c r="AB57"/>
  <c r="CP57" s="1"/>
  <c r="AC57"/>
  <c r="AD57"/>
  <c r="AE57"/>
  <c r="AF57"/>
  <c r="AG57"/>
  <c r="AH57"/>
  <c r="AI57"/>
  <c r="AJ57"/>
  <c r="FR57"/>
  <c r="GK57"/>
  <c r="GL57"/>
  <c r="GO57"/>
  <c r="GP57"/>
  <c r="GV57"/>
  <c r="GX57"/>
  <c r="B59"/>
  <c r="B22" s="1"/>
  <c r="C59"/>
  <c r="C22" s="1"/>
  <c r="D59"/>
  <c r="D22" s="1"/>
  <c r="F59"/>
  <c r="F22" s="1"/>
  <c r="G59"/>
  <c r="G22" s="1"/>
  <c r="AP59"/>
  <c r="AP22" s="1"/>
  <c r="AT59"/>
  <c r="AT22" s="1"/>
  <c r="BX59"/>
  <c r="BX22" s="1"/>
  <c r="BY59"/>
  <c r="BY22" s="1"/>
  <c r="BZ59"/>
  <c r="BZ22" s="1"/>
  <c r="CC59"/>
  <c r="CC22" s="1"/>
  <c r="CD59"/>
  <c r="CD22" s="1"/>
  <c r="CK59"/>
  <c r="CK22" s="1"/>
  <c r="CL59"/>
  <c r="CL22" s="1"/>
  <c r="F68"/>
  <c r="G16" i="2" s="1"/>
  <c r="G18" s="1"/>
  <c r="B95" i="1"/>
  <c r="B18" s="1"/>
  <c r="C95"/>
  <c r="C18" s="1"/>
  <c r="D95"/>
  <c r="D18" s="1"/>
  <c r="F95"/>
  <c r="F18" s="1"/>
  <c r="G95"/>
  <c r="G18" s="1"/>
  <c r="G139" i="5" l="1"/>
  <c r="O139" s="1"/>
  <c r="J102"/>
  <c r="P102" s="1"/>
  <c r="W102"/>
  <c r="G114"/>
  <c r="O114" s="1"/>
  <c r="G145" s="1"/>
  <c r="J55"/>
  <c r="P55" s="1"/>
  <c r="W55"/>
  <c r="J36"/>
  <c r="P36" s="1"/>
  <c r="W139"/>
  <c r="CY53" i="1"/>
  <c r="X53" s="1"/>
  <c r="CZ53"/>
  <c r="Y53" s="1"/>
  <c r="CY50"/>
  <c r="X50" s="1"/>
  <c r="CZ50"/>
  <c r="Y50" s="1"/>
  <c r="CY55"/>
  <c r="X55" s="1"/>
  <c r="CZ55"/>
  <c r="Y55" s="1"/>
  <c r="CP52"/>
  <c r="O52" s="1"/>
  <c r="CP50"/>
  <c r="O50" s="1"/>
  <c r="CJ59"/>
  <c r="CY48"/>
  <c r="X48" s="1"/>
  <c r="CZ48"/>
  <c r="Y48" s="1"/>
  <c r="CY45"/>
  <c r="X45" s="1"/>
  <c r="GK43"/>
  <c r="CY43"/>
  <c r="X43" s="1"/>
  <c r="GN40"/>
  <c r="GM40"/>
  <c r="CR53"/>
  <c r="Q53" s="1"/>
  <c r="CP53" s="1"/>
  <c r="O53" s="1"/>
  <c r="AB53"/>
  <c r="GM57"/>
  <c r="GN57"/>
  <c r="CP55"/>
  <c r="O55" s="1"/>
  <c r="CZ49"/>
  <c r="Y49" s="1"/>
  <c r="CY49"/>
  <c r="X49" s="1"/>
  <c r="GM49" s="1"/>
  <c r="CZ52"/>
  <c r="Y52" s="1"/>
  <c r="CY52"/>
  <c r="X52" s="1"/>
  <c r="CZ54"/>
  <c r="Y54" s="1"/>
  <c r="CY54"/>
  <c r="X54" s="1"/>
  <c r="GN54" s="1"/>
  <c r="CY51"/>
  <c r="X51" s="1"/>
  <c r="CZ51"/>
  <c r="Y51" s="1"/>
  <c r="GN49"/>
  <c r="AI59"/>
  <c r="BB59"/>
  <c r="AD44"/>
  <c r="CR44" s="1"/>
  <c r="Q44" s="1"/>
  <c r="CS44"/>
  <c r="R44" s="1"/>
  <c r="GK44" s="1"/>
  <c r="CZ41"/>
  <c r="Y41" s="1"/>
  <c r="CY41"/>
  <c r="X41" s="1"/>
  <c r="GK39"/>
  <c r="CZ39"/>
  <c r="Y39" s="1"/>
  <c r="CZ35"/>
  <c r="Y35" s="1"/>
  <c r="CY35"/>
  <c r="X35" s="1"/>
  <c r="CG59"/>
  <c r="AO59"/>
  <c r="AB55"/>
  <c r="AD51"/>
  <c r="AB50"/>
  <c r="AD48"/>
  <c r="CQ44"/>
  <c r="P44" s="1"/>
  <c r="CP44" s="1"/>
  <c r="O44" s="1"/>
  <c r="AB44"/>
  <c r="CZ43"/>
  <c r="Y43" s="1"/>
  <c r="GM43" s="1"/>
  <c r="AB43"/>
  <c r="CZ42"/>
  <c r="Y42" s="1"/>
  <c r="GM42" s="1"/>
  <c r="AB42"/>
  <c r="CR41"/>
  <c r="Q41" s="1"/>
  <c r="AB41"/>
  <c r="CY38"/>
  <c r="X38" s="1"/>
  <c r="CP37"/>
  <c r="O37" s="1"/>
  <c r="CR29"/>
  <c r="Q29" s="1"/>
  <c r="AB29"/>
  <c r="CY28"/>
  <c r="X28" s="1"/>
  <c r="CZ28"/>
  <c r="Y28" s="1"/>
  <c r="CS46"/>
  <c r="R46" s="1"/>
  <c r="AD46"/>
  <c r="CR46" s="1"/>
  <c r="Q46" s="1"/>
  <c r="CP41"/>
  <c r="O41" s="1"/>
  <c r="AB37"/>
  <c r="AB36"/>
  <c r="CR36"/>
  <c r="Q36" s="1"/>
  <c r="CP36" s="1"/>
  <c r="O36" s="1"/>
  <c r="CQ32"/>
  <c r="P32" s="1"/>
  <c r="AT95"/>
  <c r="AP95"/>
  <c r="F77"/>
  <c r="F16" i="2" s="1"/>
  <c r="F18" s="1"/>
  <c r="CI59" i="1"/>
  <c r="BC59"/>
  <c r="AU59"/>
  <c r="AQ59"/>
  <c r="CT47"/>
  <c r="S47" s="1"/>
  <c r="CP47" s="1"/>
  <c r="O47" s="1"/>
  <c r="AB46"/>
  <c r="CQ46"/>
  <c r="P46" s="1"/>
  <c r="CP46" s="1"/>
  <c r="O46" s="1"/>
  <c r="CY46"/>
  <c r="X46" s="1"/>
  <c r="CZ45"/>
  <c r="Y45" s="1"/>
  <c r="GN45" s="1"/>
  <c r="AB45"/>
  <c r="CY39"/>
  <c r="X39" s="1"/>
  <c r="CQ38"/>
  <c r="P38" s="1"/>
  <c r="CP38" s="1"/>
  <c r="O38" s="1"/>
  <c r="AB38"/>
  <c r="CY36"/>
  <c r="X36" s="1"/>
  <c r="CZ36"/>
  <c r="Y36" s="1"/>
  <c r="AB35"/>
  <c r="CQ35"/>
  <c r="P35" s="1"/>
  <c r="CP35" s="1"/>
  <c r="O35" s="1"/>
  <c r="CZ31"/>
  <c r="Y31" s="1"/>
  <c r="CY31"/>
  <c r="X31" s="1"/>
  <c r="AB31"/>
  <c r="CS24"/>
  <c r="R24" s="1"/>
  <c r="AD24"/>
  <c r="CR34"/>
  <c r="Q34" s="1"/>
  <c r="CP34" s="1"/>
  <c r="O34" s="1"/>
  <c r="U29"/>
  <c r="AH59" s="1"/>
  <c r="P29"/>
  <c r="CR26"/>
  <c r="Q26" s="1"/>
  <c r="AB26"/>
  <c r="CP39"/>
  <c r="O39" s="1"/>
  <c r="CZ38"/>
  <c r="Y38" s="1"/>
  <c r="CY34"/>
  <c r="X34" s="1"/>
  <c r="GK30"/>
  <c r="CY30"/>
  <c r="X30" s="1"/>
  <c r="GN30" s="1"/>
  <c r="CQ28"/>
  <c r="P28" s="1"/>
  <c r="AB28"/>
  <c r="CP26"/>
  <c r="O26" s="1"/>
  <c r="AB40"/>
  <c r="R33"/>
  <c r="GK33" s="1"/>
  <c r="CP31"/>
  <c r="O31" s="1"/>
  <c r="GK27"/>
  <c r="CY27"/>
  <c r="X27" s="1"/>
  <c r="GN27" s="1"/>
  <c r="GM25"/>
  <c r="GN25"/>
  <c r="CY24"/>
  <c r="X24" s="1"/>
  <c r="CZ24"/>
  <c r="Y24" s="1"/>
  <c r="CZ30"/>
  <c r="Y30" s="1"/>
  <c r="T29"/>
  <c r="AG59" s="1"/>
  <c r="CZ27"/>
  <c r="Y27" s="1"/>
  <c r="CS32"/>
  <c r="R32" s="1"/>
  <c r="AD32"/>
  <c r="CR32" s="1"/>
  <c r="Q32" s="1"/>
  <c r="W29"/>
  <c r="AJ59" s="1"/>
  <c r="S29"/>
  <c r="CY26"/>
  <c r="X26" s="1"/>
  <c r="CZ26"/>
  <c r="Y26" s="1"/>
  <c r="J145" i="5" l="1"/>
  <c r="GM34" i="1"/>
  <c r="GN34"/>
  <c r="GM53"/>
  <c r="GN53"/>
  <c r="CY29"/>
  <c r="X29" s="1"/>
  <c r="CZ29"/>
  <c r="Y29" s="1"/>
  <c r="AL59" s="1"/>
  <c r="AF59"/>
  <c r="CP28"/>
  <c r="O28" s="1"/>
  <c r="AC59"/>
  <c r="CZ33"/>
  <c r="Y33" s="1"/>
  <c r="GM39"/>
  <c r="GN39"/>
  <c r="GM27"/>
  <c r="AB24"/>
  <c r="CR24"/>
  <c r="Q24" s="1"/>
  <c r="AQ22"/>
  <c r="F69"/>
  <c r="AQ95"/>
  <c r="AB32"/>
  <c r="GM41"/>
  <c r="GN41"/>
  <c r="GM30"/>
  <c r="AB48"/>
  <c r="CR48"/>
  <c r="Q48" s="1"/>
  <c r="CP48" s="1"/>
  <c r="O48" s="1"/>
  <c r="AO22"/>
  <c r="F63"/>
  <c r="AO95"/>
  <c r="AI22"/>
  <c r="V59"/>
  <c r="CZ44"/>
  <c r="Y44" s="1"/>
  <c r="GN44" s="1"/>
  <c r="GM52"/>
  <c r="GN52"/>
  <c r="GM54"/>
  <c r="GK32"/>
  <c r="CZ32"/>
  <c r="Y32" s="1"/>
  <c r="CY33"/>
  <c r="X33" s="1"/>
  <c r="CP29"/>
  <c r="O29" s="1"/>
  <c r="GK24"/>
  <c r="AE59"/>
  <c r="AU22"/>
  <c r="AU95"/>
  <c r="F78"/>
  <c r="AP18"/>
  <c r="F104"/>
  <c r="GM36"/>
  <c r="GN36"/>
  <c r="CG22"/>
  <c r="AX59"/>
  <c r="CY44"/>
  <c r="X44" s="1"/>
  <c r="GN42"/>
  <c r="AK59"/>
  <c r="GM26"/>
  <c r="GN26"/>
  <c r="AH22"/>
  <c r="U59"/>
  <c r="GM35"/>
  <c r="GN35"/>
  <c r="BC22"/>
  <c r="BC95"/>
  <c r="F75"/>
  <c r="AT18"/>
  <c r="F113"/>
  <c r="CZ46"/>
  <c r="Y46" s="1"/>
  <c r="GM46" s="1"/>
  <c r="GK46"/>
  <c r="GM37"/>
  <c r="GN37"/>
  <c r="AB51"/>
  <c r="CR51"/>
  <c r="Q51" s="1"/>
  <c r="CP51" s="1"/>
  <c r="O51" s="1"/>
  <c r="GM45"/>
  <c r="GN43"/>
  <c r="GM55"/>
  <c r="GN55"/>
  <c r="CJ22"/>
  <c r="BA59"/>
  <c r="AJ22"/>
  <c r="W59"/>
  <c r="AG22"/>
  <c r="T59"/>
  <c r="GM31"/>
  <c r="GN31"/>
  <c r="CY32"/>
  <c r="X32" s="1"/>
  <c r="GM38"/>
  <c r="GN38"/>
  <c r="CY47"/>
  <c r="X47" s="1"/>
  <c r="GM47" s="1"/>
  <c r="CZ47"/>
  <c r="Y47" s="1"/>
  <c r="CI22"/>
  <c r="AZ59"/>
  <c r="CP32"/>
  <c r="O32" s="1"/>
  <c r="BB22"/>
  <c r="BB95"/>
  <c r="F72"/>
  <c r="GM50"/>
  <c r="GN50"/>
  <c r="AL22" l="1"/>
  <c r="Y59"/>
  <c r="GM29"/>
  <c r="GN29"/>
  <c r="GN46"/>
  <c r="GN33"/>
  <c r="GM33"/>
  <c r="V22"/>
  <c r="F82"/>
  <c r="V95"/>
  <c r="AC22"/>
  <c r="CE59"/>
  <c r="CH59"/>
  <c r="P59"/>
  <c r="CF59"/>
  <c r="AZ22"/>
  <c r="AZ95"/>
  <c r="F70"/>
  <c r="BC18"/>
  <c r="F111"/>
  <c r="U22"/>
  <c r="F81"/>
  <c r="U95"/>
  <c r="AQ18"/>
  <c r="F105"/>
  <c r="GM44"/>
  <c r="T22"/>
  <c r="F80"/>
  <c r="T95"/>
  <c r="BA22"/>
  <c r="F79"/>
  <c r="H16" i="2" s="1"/>
  <c r="H18" s="1"/>
  <c r="BA95" i="1"/>
  <c r="AU18"/>
  <c r="F114"/>
  <c r="AE22"/>
  <c r="R59"/>
  <c r="GN48"/>
  <c r="GM48"/>
  <c r="GM28"/>
  <c r="GN28"/>
  <c r="GN47"/>
  <c r="AK22"/>
  <c r="X59"/>
  <c r="BB18"/>
  <c r="F108"/>
  <c r="GN32"/>
  <c r="GM32"/>
  <c r="W22"/>
  <c r="W95"/>
  <c r="F83"/>
  <c r="GN51"/>
  <c r="GM51"/>
  <c r="AX22"/>
  <c r="AX95"/>
  <c r="F66"/>
  <c r="AO18"/>
  <c r="F99"/>
  <c r="AD59"/>
  <c r="CP24"/>
  <c r="O24" s="1"/>
  <c r="AF22"/>
  <c r="S59"/>
  <c r="X22" l="1"/>
  <c r="X95"/>
  <c r="F84"/>
  <c r="U18"/>
  <c r="F117"/>
  <c r="AD22"/>
  <c r="Q59"/>
  <c r="AX18"/>
  <c r="F102"/>
  <c r="P22"/>
  <c r="P95"/>
  <c r="F62"/>
  <c r="V18"/>
  <c r="F118"/>
  <c r="Y22"/>
  <c r="F85"/>
  <c r="Y95"/>
  <c r="GN24"/>
  <c r="CB59" s="1"/>
  <c r="GM24"/>
  <c r="CA59" s="1"/>
  <c r="AB59"/>
  <c r="CF22"/>
  <c r="AW59"/>
  <c r="S22"/>
  <c r="S95"/>
  <c r="F74"/>
  <c r="J16" i="2" s="1"/>
  <c r="J18" s="1"/>
  <c r="W18" i="1"/>
  <c r="F119"/>
  <c r="T18"/>
  <c r="F116"/>
  <c r="AZ18"/>
  <c r="F106"/>
  <c r="CH22"/>
  <c r="AY59"/>
  <c r="R22"/>
  <c r="F73"/>
  <c r="R95"/>
  <c r="BA18"/>
  <c r="F115"/>
  <c r="CE22"/>
  <c r="AV59"/>
  <c r="AV22" l="1"/>
  <c r="AV95"/>
  <c r="F64"/>
  <c r="R18"/>
  <c r="F109"/>
  <c r="S18"/>
  <c r="F110"/>
  <c r="AB22"/>
  <c r="O59"/>
  <c r="CA22"/>
  <c r="AR59"/>
  <c r="P18"/>
  <c r="F98"/>
  <c r="Q22"/>
  <c r="Q95"/>
  <c r="F71"/>
  <c r="AW22"/>
  <c r="F65"/>
  <c r="AW95"/>
  <c r="CB22"/>
  <c r="AS59"/>
  <c r="X18"/>
  <c r="F120"/>
  <c r="AY22"/>
  <c r="AY95"/>
  <c r="F67"/>
  <c r="Y18"/>
  <c r="F121"/>
  <c r="AY18" l="1"/>
  <c r="F103"/>
  <c r="AW18"/>
  <c r="F101"/>
  <c r="AR22"/>
  <c r="AR95"/>
  <c r="F86"/>
  <c r="F89" s="1"/>
  <c r="J151" i="5" s="1"/>
  <c r="Q18" i="1"/>
  <c r="F107"/>
  <c r="AV18"/>
  <c r="F100"/>
  <c r="AS22"/>
  <c r="F76"/>
  <c r="E16" i="2" s="1"/>
  <c r="AS95" i="1"/>
  <c r="O22"/>
  <c r="F61"/>
  <c r="O95"/>
  <c r="O18" l="1"/>
  <c r="F97"/>
  <c r="I16" i="2"/>
  <c r="I18" s="1"/>
  <c r="E18"/>
  <c r="F90" i="1"/>
  <c r="AS18"/>
  <c r="F112"/>
  <c r="AR18"/>
  <c r="F122"/>
  <c r="F91" l="1"/>
  <c r="J152" i="5"/>
  <c r="F92" i="1" l="1"/>
  <c r="J153" i="5"/>
  <c r="F93" i="1" l="1"/>
  <c r="J155" i="5" s="1"/>
  <c r="J154"/>
</calcChain>
</file>

<file path=xl/sharedStrings.xml><?xml version="1.0" encoding="utf-8"?>
<sst xmlns="http://schemas.openxmlformats.org/spreadsheetml/2006/main" count="3081" uniqueCount="461">
  <si>
    <t>Smeta.RU  (495) 974-1589</t>
  </si>
  <si>
    <t>_PS_</t>
  </si>
  <si>
    <t>Smeta.RU</t>
  </si>
  <si>
    <t>АО  "НПЦ газотурбостроения "Салют"  Доп. раб. место  MCCS-0027022</t>
  </si>
  <si>
    <t>Новый объект</t>
  </si>
  <si>
    <t>Ремонт кровли корпуса №1, оси 6-25 методом напыления полимочевины. Филиал ВМЗ "Салют"</t>
  </si>
  <si>
    <t/>
  </si>
  <si>
    <t>Техническое задание №09.12.002 Никонов М.А.</t>
  </si>
  <si>
    <t>Высовень А.К.</t>
  </si>
  <si>
    <t>ведущий инженер</t>
  </si>
  <si>
    <t>Жарова А.А.</t>
  </si>
  <si>
    <t>Сметные нормы списания</t>
  </si>
  <si>
    <t>Коды ценников</t>
  </si>
  <si>
    <t>ФЕР-2017</t>
  </si>
  <si>
    <t>ТР для Версии 10: Центральные регионы (с учетом п-ма 2536-ИП/12/ГС от 22.03.2017 г</t>
  </si>
  <si>
    <t>Поправки  для ГСН 2017 от 25.10.2017 г  Капитальный ремонт</t>
  </si>
  <si>
    <t>Новая локальная смета</t>
  </si>
  <si>
    <t>1</t>
  </si>
  <si>
    <t>58-3-1</t>
  </si>
  <si>
    <t>Разборка мелких покрытий и обделок из листовой стали поясков, сандриков, желобов, отливов, свесов и т.п. (парапеты)</t>
  </si>
  <si>
    <t>100 м</t>
  </si>
  <si>
    <t>ФЕР-2001, 58-3-1, приказ Минстроя России №1039/пр от 30.12.2016г.</t>
  </si>
  <si>
    <t>Ремонтно-строительные работы</t>
  </si>
  <si>
    <t>Крыши, кровля</t>
  </si>
  <si>
    <t>рФЕР-58</t>
  </si>
  <si>
    <t>*0,85</t>
  </si>
  <si>
    <t>*0,8</t>
  </si>
  <si>
    <t>1,1</t>
  </si>
  <si>
    <t>01.7.07.07</t>
  </si>
  <si>
    <t>Строительный мусор</t>
  </si>
  <si>
    <t>т</t>
  </si>
  <si>
    <t>занесена вручную</t>
  </si>
  <si>
    <t>2</t>
  </si>
  <si>
    <t>46-04-008-01</t>
  </si>
  <si>
    <t>Разборка водоизоляционного слоя примыканий (прим.)</t>
  </si>
  <si>
    <t>100 м2</t>
  </si>
  <si>
    <t>ФЕР-2001, 46-04-008-01, приказ Минстроя России №1039/пр от 30.12.2016г.</t>
  </si>
  <si>
    <t>Общестроительные работы</t>
  </si>
  <si>
    <t>Реконструкция зданий и сооружений</t>
  </si>
  <si>
    <t>ФЕР-46</t>
  </si>
  <si>
    <t>3</t>
  </si>
  <si>
    <t>58-7-1</t>
  </si>
  <si>
    <t>Ремонт отдельными местами рулонного покрытия с заменой 1 слоя</t>
  </si>
  <si>
    <t>ФЕР-2001, 58-7-1, приказ Минстроя России №1039/пр от 30.12.2016г.</t>
  </si>
  <si>
    <t>3,1</t>
  </si>
  <si>
    <t>3,2</t>
  </si>
  <si>
    <t>12.1.02.03-0192</t>
  </si>
  <si>
    <t>Техноэласт ЭКП</t>
  </si>
  <si>
    <t>м2</t>
  </si>
  <si>
    <t>ФССЦ-2001, 12.1.02.03-0192, приказ Минстроя России №1039/пр от 30.12.2016г.</t>
  </si>
  <si>
    <t>4</t>
  </si>
  <si>
    <t>07-05-039-06</t>
  </si>
  <si>
    <t>Герметизация примыкания водоизоляционного слоя к парапету (шириной до 10 см) (прим.)</t>
  </si>
  <si>
    <t>ФЕР-2001, 07-05-039-06, приказ Минстроя России №1039/пр от 30.12.2016г.</t>
  </si>
  <si>
    <t>Поправка: п.8.7.1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</t>
  </si>
  <si>
    <t>)*1,25</t>
  </si>
  <si>
    <t>)*1,15</t>
  </si>
  <si>
    <t>Сборные бетонные констр. в жил. стр/ (крупно-пан. д_стр. (для СП=108% - {КПД}=1; обыч. д_стр. СП=90% - {КПД}=0)</t>
  </si>
  <si>
    <t>ФЕР-07</t>
  </si>
  <si>
    <t>Поправка: п.8.7.1</t>
  </si>
  <si>
    <t>5</t>
  </si>
  <si>
    <t>58-16-3</t>
  </si>
  <si>
    <t>Ремонт цементной стяжки площадью заделки до 1,0 м2</t>
  </si>
  <si>
    <t>100 мест</t>
  </si>
  <si>
    <t>ФЕР-2001, 58-16-3, приказ Минстроя России №1039/пр от 30.12.2016г.</t>
  </si>
  <si>
    <t>5,1</t>
  </si>
  <si>
    <t>5,2</t>
  </si>
  <si>
    <t>03.2.01.01-0001</t>
  </si>
  <si>
    <t>Портландцемент общестроительного назначения бездобавочный, марки 400</t>
  </si>
  <si>
    <t>ФССЦ-2001, 03.2.01.01-0001, приказ Минстроя России №1039/пр от 30.12.2016г.</t>
  </si>
  <si>
    <t>5,3</t>
  </si>
  <si>
    <t>04.3.01.09-0014</t>
  </si>
  <si>
    <t>Раствор готовый кладочный цементный марки 100</t>
  </si>
  <si>
    <t>м3</t>
  </si>
  <si>
    <t>ФССЦ-2001, 04.3.01.09-0014, приказ Минстроя России №1039/пр от 30.12.2016г.</t>
  </si>
  <si>
    <t>6</t>
  </si>
  <si>
    <t>46-03-010-03</t>
  </si>
  <si>
    <t>Сверление отверстий под аэраторы (прим.)</t>
  </si>
  <si>
    <t>100 ШТ</t>
  </si>
  <si>
    <t>ФЕР-2001, 46-03-010-03, приказ Минстроя России №1039/пр от 30.12.2016г.</t>
  </si>
  <si>
    <t>7</t>
  </si>
  <si>
    <t>20-02-012-01</t>
  </si>
  <si>
    <t>Установка дефлекторов диаметром патрубка 280 мм</t>
  </si>
  <si>
    <t>ШТ</t>
  </si>
  <si>
    <t>ФЕР-2001, 20-02-012-01, приказ Минстроя России №1039/пр от 30.12.2016г.</t>
  </si>
  <si>
    <t>Вентиляция и кондиционирование</t>
  </si>
  <si>
    <t>ФЕР-20</t>
  </si>
  <si>
    <t>7,1</t>
  </si>
  <si>
    <t>12.1.01.01-0002</t>
  </si>
  <si>
    <t>Аэратор пластиковый для плоских кровель</t>
  </si>
  <si>
    <t>шт.</t>
  </si>
  <si>
    <t>ФССЦ-2001, 12.1.01.01-0002, приказ Минстроя России №1039/пр от 30.12.2016г.</t>
  </si>
  <si>
    <t>8</t>
  </si>
  <si>
    <t>13-06-004-01</t>
  </si>
  <si>
    <t>Обеспыливание поверхности</t>
  </si>
  <si>
    <t>ФЕР-2001, 13-06-004-01, приказ Минстроя России №1039/пр от 30.12.2016г.</t>
  </si>
  <si>
    <t>Защита строительных конструкций</t>
  </si>
  <si>
    <t>ФЕР-13</t>
  </si>
  <si>
    <t>9</t>
  </si>
  <si>
    <t>26-01-021-01</t>
  </si>
  <si>
    <t>Изоляция плоских и криволинейных поверхностей из пенополиуретана методом напыления (теплоизоляция плоских и криволинейных поверхностей из пенополиуретана с фреоновым вспениванием методом напыления толщиной 15 мм)</t>
  </si>
  <si>
    <t>ФЕР-2001, 26-01-021-01, приказ Минстроя России №1039/пр от 30.12.2016г.</t>
  </si>
  <si>
    <t>Теплоизоляционные работы</t>
  </si>
  <si>
    <t>ФЕР-26</t>
  </si>
  <si>
    <t>9,1</t>
  </si>
  <si>
    <t>12.2.03.05-0001</t>
  </si>
  <si>
    <t>Компонент А системы жидких компонентов для напыления ППУ</t>
  </si>
  <si>
    <t>кг</t>
  </si>
  <si>
    <t>ФССЦ-2001, 12.2.03.05-0001, приказ Минстроя России №1039/пр от 30.12.2016г.</t>
  </si>
  <si>
    <t>9,2</t>
  </si>
  <si>
    <t>12.2.03.05-0003</t>
  </si>
  <si>
    <t>Компонент Б системы жидких компонентов для напыления ППУ</t>
  </si>
  <si>
    <t>ФССЦ-2001, 12.2.03.05-0003, приказ Минстроя России №1039/пр от 30.12.2016г.</t>
  </si>
  <si>
    <t>9,3</t>
  </si>
  <si>
    <t>Прайс</t>
  </si>
  <si>
    <t>Полиненоуретановая пена с фреоновым вспенивателем горячего напыления плотностью 42-55 кг/м3, теплопроводностью 0,028-0,032 Вт/мК Wetisol SprayFoam-50 или аналог</t>
  </si>
  <si>
    <t>[295 / 1,18] +  2% Заг.скл</t>
  </si>
  <si>
    <t>10</t>
  </si>
  <si>
    <t>Гидрозоляция плоских и криволинейных поверхностей из полимочевины методом напыления толщиной 1,5-2,5 мм включая парапеты (прим.)</t>
  </si>
  <si>
    <t>10,1</t>
  </si>
  <si>
    <t>10,2</t>
  </si>
  <si>
    <t>10,3</t>
  </si>
  <si>
    <t>Полимочевина (поликарбомид) ароматическая:КМ2, удлинение при разрыве 350-400мм, прочность на разрыв не менее 20Мпа, твердость по Шору не менее 45 ед, истираемость по таберу не более 26 мг. Wetosol Spray-400 или аналог</t>
  </si>
  <si>
    <t>[525 / 1,18] +  2% Заг.скл</t>
  </si>
  <si>
    <t>11</t>
  </si>
  <si>
    <t>Изоляция плоских и криволинейных поверхностей защитой от ультрафиолета  толщиной 0,3 мм (прим.)</t>
  </si>
  <si>
    <t>11,1</t>
  </si>
  <si>
    <t>11,2</t>
  </si>
  <si>
    <t>11,3</t>
  </si>
  <si>
    <t>УФ-стойкое покрытие Wetisol Spray-400 UV или аналог</t>
  </si>
  <si>
    <t>[760 / 1,18] +  2% Заг.скл</t>
  </si>
  <si>
    <t>12</t>
  </si>
  <si>
    <t>12-01-035-02</t>
  </si>
  <si>
    <t>Устройство металлической водосточной системы воронок</t>
  </si>
  <si>
    <t>ФЕР-2001, 12-01-035-02, приказ Минстроя России №886/пр от 15.06.2017</t>
  </si>
  <si>
    <t>Кровли</t>
  </si>
  <si>
    <t>ФЕР-12</t>
  </si>
  <si>
    <t>12,1</t>
  </si>
  <si>
    <t>08.1.02.01-0002</t>
  </si>
  <si>
    <t>Воронка водосточная из оцинкованной стали</t>
  </si>
  <si>
    <t>ФССЦ-2001, 08.1.02.01-0002, приказ Минстроя России №1039/пр от 30.12.2016г.</t>
  </si>
  <si>
    <t>13</t>
  </si>
  <si>
    <t>12-01-010-01</t>
  </si>
  <si>
    <t>Устройство мелких покрытий (брандмауэры, парапеты, свесы и т.п.) из листовой оцинкованной стали (парапеты)</t>
  </si>
  <si>
    <t>ФЕР-2001, 12-01-010-01, приказ Минстроя России №1039/пр от 30.12.2016г.</t>
  </si>
  <si>
    <t>14</t>
  </si>
  <si>
    <t>46-08-022-01</t>
  </si>
  <si>
    <t>Гидроизоляция полиуретановым герметиком без уплотнения пенополиэтиленовым прокладочным шнуром швов по оцинкованному железу</t>
  </si>
  <si>
    <t>ФЕР-2001, 46-08-022-01, приказ Минстроя России №1039/пр от 30.12.2016г.</t>
  </si>
  <si>
    <t>14,1</t>
  </si>
  <si>
    <t>14.5.01.06-0011</t>
  </si>
  <si>
    <t>Герметик полиуретановый</t>
  </si>
  <si>
    <t>ФССЦ-2001, 14.5.01.06-0011, приказ Минстроя России №1039/пр от 30.12.2016г.</t>
  </si>
  <si>
    <t>15</t>
  </si>
  <si>
    <t>т01-01-01-041</t>
  </si>
  <si>
    <t>Погрузочные работы при автомобильных перевозках мусора строительного с погрузкой вручную</t>
  </si>
  <si>
    <t>1 Т ГРУЗА</t>
  </si>
  <si>
    <t>ФССЦпг-2001, т01-01-01-041, приказ Минстроя России №1039/пр от 30.12.2016г.</t>
  </si>
  <si>
    <t>Погрузочно-разгрузочные работы</t>
  </si>
  <si>
    <t>Перевозка грузов , (ФССЦпр 2011-изм. № 4-6, раздел 1):  погрузочно-разгрузочные работы  (НР и СП в прям. затратах )</t>
  </si>
  <si>
    <t>ФССЦпр  пог. а/п (2011,изм. 4-6)</t>
  </si>
  <si>
    <t>16</t>
  </si>
  <si>
    <t>т03-21-01-033</t>
  </si>
  <si>
    <t>Перевозка грузов I класса автомобилями-самосвалами грузоподъемностью 10 т работающих вне карьера на расстояние до 33 км</t>
  </si>
  <si>
    <t>ФССЦпг-2001, т03-21-01-033, приказ Минстроя России №1039/пр от 30.12.2016г.</t>
  </si>
  <si>
    <t>Перевозка грузов авто/транспортом</t>
  </si>
  <si>
    <t>Перевозкуа грузов (ФССЦпр-2011 - изм. 7, разделы 1-4) - по сметной стоимости</t>
  </si>
  <si>
    <t>ФССЦпр , изм. 7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</si>
  <si>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</si>
  <si>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</si>
  <si>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</si>
  <si>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</si>
  <si>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</si>
  <si>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</si>
  <si>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</si>
  <si>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</si>
  <si>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</si>
  <si>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</si>
  <si>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</si>
  <si>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</si>
  <si>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</si>
  <si>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</si>
  <si>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</si>
  <si>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</si>
  <si>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</si>
  <si>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</si>
  <si>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</si>
  <si>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</si>
  <si>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</si>
  <si>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</si>
  <si>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</si>
  <si>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</si>
  <si>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</si>
  <si>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</si>
  <si>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</si>
  <si>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</si>
  <si>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</si>
  <si>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</si>
  <si>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</si>
  <si>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</si>
  <si>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</si>
  <si>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</si>
  <si>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</si>
  <si>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</si>
  <si>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</si>
  <si>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</si>
  <si>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</si>
  <si>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</si>
  <si>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</si>
  <si>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</si>
  <si>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</si>
  <si>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</si>
  <si>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</si>
  <si>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</si>
  <si>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</si>
  <si>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</si>
  <si>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</si>
  <si>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</si>
  <si>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</si>
  <si>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</si>
  <si>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Итого</t>
  </si>
  <si>
    <t>Итого с НР и СП</t>
  </si>
  <si>
    <t>НЗ</t>
  </si>
  <si>
    <t>Непредвиденные затраты 3%</t>
  </si>
  <si>
    <t>Итого с НЗ</t>
  </si>
  <si>
    <t>Итого  с непредвиденными затратами</t>
  </si>
  <si>
    <t>НДС</t>
  </si>
  <si>
    <t>НДС 18%</t>
  </si>
  <si>
    <t>Итого с НДС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</si>
  <si>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</si>
  <si>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</si>
  <si>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</si>
  <si>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</si>
  <si>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</si>
  <si>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</si>
  <si>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</si>
  <si>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</si>
  <si>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</si>
  <si>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</si>
  <si>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</si>
  <si>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</si>
  <si>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</si>
  <si>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</si>
  <si>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</si>
  <si>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М/Т/Я</t>
  </si>
  <si>
    <t>Работы по строительству мостов, тоннелей, метрополитенов, атомных станций, объектов с ядерным топливом и радиокативными отходами ( письмо Госстроя РФ № 2536-ИП/12/ГС от 27.11.12), коэффициенты к НР =0,85 и к СП-0,8 не назначаются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</si>
  <si>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</si>
  <si>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</si>
  <si>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</si>
  <si>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</si>
  <si>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</si>
  <si>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</si>
  <si>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</si>
  <si>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</si>
  <si>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</si>
  <si>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</si>
  <si>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</si>
  <si>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</si>
  <si>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</si>
  <si>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</si>
  <si>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</si>
  <si>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</si>
  <si>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</si>
  <si>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</si>
  <si>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</si>
  <si>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</si>
  <si>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</si>
  <si>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</si>
  <si>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</si>
  <si>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</si>
  <si>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</si>
  <si>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</si>
  <si>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</si>
  <si>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</si>
  <si>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</si>
  <si>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  если (М/Т/Я) = {выкл.}</t>
  </si>
  <si>
    <t>К_СП_12</t>
  </si>
  <si>
    <t>Корректировка СП с 03.12.12  в текущем уровне цен по письму  2536-ИП/12/ГС от 27.11.12  ( если (М/Т/Я)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</si>
  <si>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</si>
  <si>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</si>
  <si>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</si>
  <si>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</si>
  <si>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</si>
  <si>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</si>
  <si>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</si>
  <si>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 и  кап. ремонте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</si>
  <si>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</si>
  <si>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</si>
  <si>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</si>
  <si>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</si>
  <si>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Текущий</t>
  </si>
  <si>
    <t>Сборник индексов</t>
  </si>
  <si>
    <t>Индексы к ФЕР-2017 с И1 (Стройинформресурс)</t>
  </si>
  <si>
    <t>Индексы к ФЕР-2017 по КТЦ (Стройинформресурс)</t>
  </si>
  <si>
    <t>_OBSM_</t>
  </si>
  <si>
    <t>1-100-20</t>
  </si>
  <si>
    <t>Рабочий среднего разряда 2</t>
  </si>
  <si>
    <t>чел.-ч.</t>
  </si>
  <si>
    <t>91.06.03-060</t>
  </si>
  <si>
    <t>ФСЭМ-2001, 91.06.03-060, приказ Минстроя России №1039/пр от 30.12.2016г.</t>
  </si>
  <si>
    <t>Лебедки электрические тяговым усилием до 5,79 кН (0,59 т)</t>
  </si>
  <si>
    <t>маш.-ч</t>
  </si>
  <si>
    <t>91.06.03-055</t>
  </si>
  <si>
    <t>ФСЭМ-2001, 91.06.03-055, приказ Минстроя России №1039/пр от 30.12.2016г.</t>
  </si>
  <si>
    <t>Лебедки электрические тяговым усилием 19,62 кН (2 т)</t>
  </si>
  <si>
    <t>1-100-32</t>
  </si>
  <si>
    <t>Рабочий среднего разряда 3.2</t>
  </si>
  <si>
    <t>4-100-00</t>
  </si>
  <si>
    <t>Затраты труда машинистов</t>
  </si>
  <si>
    <t>91.06.06-048</t>
  </si>
  <si>
    <t>ФСЭМ-2001, 91.06.06-048, приказ Минстроя России №1039/пр от 30.12.2016г.</t>
  </si>
  <si>
    <t>Подъемники одномачтовые, грузоподъемность до 500 кг, высота подъема 45 м</t>
  </si>
  <si>
    <t>91.08.04-021</t>
  </si>
  <si>
    <t>ФСЭМ-2001, 91.08.04-021, приказ Минстроя России №1039/пр от 30.12.2016г.</t>
  </si>
  <si>
    <t>Котлы битумные передвижные 400 л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</si>
  <si>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</si>
  <si>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</si>
  <si>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</si>
  <si>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01.2.03.03-0013</t>
  </si>
  <si>
    <t>ФССЦ-2001, 01.2.03.03-0013, приказ Минстроя России №1039/пр от 30.12.2016г.</t>
  </si>
  <si>
    <t>Мастика битумная кровельная горячая</t>
  </si>
  <si>
    <t>1-100-35</t>
  </si>
  <si>
    <t>Рабочий среднего разряда 3.5</t>
  </si>
  <si>
    <t>91.06.09-011</t>
  </si>
  <si>
    <t>ФСЭМ-2001, 91.06.09-011, приказ Минстроя России №1039/пр от 30.12.2016г.</t>
  </si>
  <si>
    <t>Люлька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</si>
  <si>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</si>
  <si>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</si>
  <si>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 ат), производительность до 5 м3/мин</t>
  </si>
  <si>
    <t>14.5.04.07-0013</t>
  </si>
  <si>
    <t>ФССЦ-2001, 14.5.04.07-0013, приказ Минстроя России №1039/пр от 30.12.2016г.</t>
  </si>
  <si>
    <t>Мастика тиоколовая строительного назначения, марки КБ-0,5</t>
  </si>
  <si>
    <t>1-100-33</t>
  </si>
  <si>
    <t>Рабочий среднего разряда 3.3</t>
  </si>
  <si>
    <t>91.18.01-012</t>
  </si>
  <si>
    <t>ФСЭМ-2001, 91.18.01-012, приказ Минстроя России №1039/пр от 30.12.2016г.</t>
  </si>
  <si>
    <t>Компрессоры передвижные с электродвигателем давлением 600 кПа (6 ат), производительность до 3,5 м3/мин</t>
  </si>
  <si>
    <t>91.21.10-003</t>
  </si>
  <si>
    <t>ФСЭМ-2001, 91.21.10-003, приказ Минстроя России №1039/пр от 30.12.2016г.</t>
  </si>
  <si>
    <t>Молотки при работе от передвижных компрессорных станций отбойные пневматические</t>
  </si>
  <si>
    <t>1-100-39</t>
  </si>
  <si>
    <t>Рабочий среднего разряда 3.9</t>
  </si>
  <si>
    <t>1-100-30</t>
  </si>
  <si>
    <t>Рабочий среднего разряда 3</t>
  </si>
  <si>
    <t>91.06.03-047</t>
  </si>
  <si>
    <t>ФСЭМ-2001, 91.06.03-047, приказ Минстроя России №1039/пр от 30.12.2016г.</t>
  </si>
  <si>
    <t>Лебедки ручные и рычажные тяговым усилием 31,39 кН (3,2 т)</t>
  </si>
  <si>
    <t>01.1.01.09-0026</t>
  </si>
  <si>
    <t>ФССЦ-2001, 01.1.01.09-0026, приказ Минстроя России №1039/пр от 30.12.2016г.</t>
  </si>
  <si>
    <t>Шнур асбестовый общего назначения марки ШАОН диаметром 8-10 мм</t>
  </si>
  <si>
    <t>01.7.15.03-0041</t>
  </si>
  <si>
    <t>ФССЦ-2001, 01.7.15.03-0041, приказ Минстроя России №1039/пр от 30.12.2016г.</t>
  </si>
  <si>
    <t>Болты с гайками и шайбами строительные</t>
  </si>
  <si>
    <t>01.7.19.04-0031</t>
  </si>
  <si>
    <t>ФССЦ-2001, 01.7.19.04-0031, приказ Минстроя России №1039/пр от 30.12.2016г.</t>
  </si>
  <si>
    <t>Прокладки резиновые (пластина техническая прессованная)</t>
  </si>
  <si>
    <t>1-100-42</t>
  </si>
  <si>
    <t>Рабочий среднего разряда 4.2</t>
  </si>
  <si>
    <t>91.21.22-442</t>
  </si>
  <si>
    <t>ФСЭМ-2001, 91.21.22-442, приказ Минстроя России №1039/пр от 30.12.2016г.</t>
  </si>
  <si>
    <t>Установки для заливки пенополиуретана</t>
  </si>
  <si>
    <t>01.7.06.03-0022</t>
  </si>
  <si>
    <t>ФССЦ-2001, 01.7.06.03-0022, приказ Минстроя России №1039/пр от 30.12.2016г.</t>
  </si>
  <si>
    <t>Лента полиэтиленовая с липким слоем А50</t>
  </si>
  <si>
    <t>01.7.07.12-0024</t>
  </si>
  <si>
    <t>ФССЦ-2001, 01.7.07.12-0024, приказ Минстроя России №1039/пр от 30.12.2016г.</t>
  </si>
  <si>
    <t>Пленка полиэтиленовая толщиной 0,15 мм</t>
  </si>
  <si>
    <t>08.3.03.04-0021</t>
  </si>
  <si>
    <t>ФССЦ-2001, 08.3.03.04-0021, приказ Минстроя России №1039/пр от 30.12.2016г.</t>
  </si>
  <si>
    <t>Проволока стальная низкоуглеродистая общего назначения диаметром 0,8 мм</t>
  </si>
  <si>
    <t>12.2.03.15-0021</t>
  </si>
  <si>
    <t>ФССЦ-2001, 12.2.03.15-0021, приказ Минстроя России №1039/пр от 30.12.2016г.</t>
  </si>
  <si>
    <t>Диоктилфталат</t>
  </si>
  <si>
    <t>12.2.03.15-0061</t>
  </si>
  <si>
    <t>ФССЦ-2001, 12.2.03.15-0061, приказ Минстроя России №1039/пр от 30.12.2016г.</t>
  </si>
  <si>
    <t>Хлорметилен</t>
  </si>
  <si>
    <t>1-100-40</t>
  </si>
  <si>
    <t>Рабочий среднего разряда 4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</si>
  <si>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</si>
  <si>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</si>
  <si>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</si>
  <si>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01.7.15.06-0146</t>
  </si>
  <si>
    <t>ФССЦ-2001, 01.7.15.06-0146, приказ Минстроя России №1039/пр от 30.12.2016г.</t>
  </si>
  <si>
    <t>Гвозди толевые круглые 3,0х40 мм</t>
  </si>
  <si>
    <t>08.3.03.05-0002</t>
  </si>
  <si>
    <t>ФССЦ-2001, 08.3.03.05-0002, приказ Минстроя России №1039/пр от 30.12.2016г.</t>
  </si>
  <si>
    <t>Проволока канатная оцинкованная, диаметром 3 мм</t>
  </si>
  <si>
    <t>08.3.05.05-0053</t>
  </si>
  <si>
    <t>ФССЦ-2001, 08.3.05.05-0053, приказ Минстроя России №1039/пр от 30.12.2016г.</t>
  </si>
  <si>
    <t>Сталь листовая оцинкованная толщиной листа 0,7 мм</t>
  </si>
  <si>
    <t>12.1.02.15</t>
  </si>
  <si>
    <t>Материалы рулонные кровельные</t>
  </si>
  <si>
    <t>03.2.02.11</t>
  </si>
  <si>
    <t>Цемент</t>
  </si>
  <si>
    <t>04.3.01.09</t>
  </si>
  <si>
    <t>Раствор тяжелый цементный</t>
  </si>
  <si>
    <t>18.4.01.02</t>
  </si>
  <si>
    <t>Растяжки с талрепами</t>
  </si>
  <si>
    <t>19.1.04.02</t>
  </si>
  <si>
    <t>Дефлекторы</t>
  </si>
  <si>
    <t>08.1.02.22</t>
  </si>
  <si>
    <t>Изделия для водосточных труб</t>
  </si>
  <si>
    <t>01.7.17.12</t>
  </si>
  <si>
    <t>Щетка дисковая для УШМ из стальной проволоки</t>
  </si>
  <si>
    <t>14.5.01.06</t>
  </si>
  <si>
    <t>(наименование работ и затрат, наименование объекта)</t>
  </si>
  <si>
    <t xml:space="preserve">Основание: </t>
  </si>
  <si>
    <t>Сметная стоимость</t>
  </si>
  <si>
    <t>№ п/п</t>
  </si>
  <si>
    <t>Шифр расценки и коды ресурсов</t>
  </si>
  <si>
    <t>Наименование работ и затрат</t>
  </si>
  <si>
    <t>Ед. изм.</t>
  </si>
  <si>
    <t>Кол-во единиц</t>
  </si>
  <si>
    <t>Цена на ед. изм.</t>
  </si>
  <si>
    <t>Попра-вочные коэфф.</t>
  </si>
  <si>
    <t>Стоимость в ценах 2001г.</t>
  </si>
  <si>
    <t>Пункт коэфф. пересчета</t>
  </si>
  <si>
    <t>Коэфф. пересчета</t>
  </si>
  <si>
    <t>Стоимость в текущих ценах</t>
  </si>
  <si>
    <t>ЗТР всего чел.-час</t>
  </si>
  <si>
    <t>Составлена в ценах Индексы к ФЕР-2017 с И1 (Стройинформресурс) июль 2017 года и Индексы к ФЕР-2017 по КТЦ (Стройинформресурс) июль 2017 года</t>
  </si>
  <si>
    <t>Зарплата</t>
  </si>
  <si>
    <t>НР от ФОТ</t>
  </si>
  <si>
    <t>%</t>
  </si>
  <si>
    <t>СП от ФОТ</t>
  </si>
  <si>
    <t>Затраты труда</t>
  </si>
  <si>
    <t>чел-ч</t>
  </si>
  <si>
    <t>в т.ч. зарплата машинистов</t>
  </si>
  <si>
    <t>Материальные ресурсы</t>
  </si>
  <si>
    <r>
      <t>07-05-039-06</t>
    </r>
    <r>
      <rPr>
        <i/>
        <sz val="10"/>
        <rFont val="Arial"/>
        <family val="2"/>
        <charset val="204"/>
      </rPr>
      <t xml:space="preserve">
Поправка: п.8.7.1</t>
    </r>
  </si>
  <si>
    <r>
      <t>20-02-012-01</t>
    </r>
    <r>
      <rPr>
        <i/>
        <sz val="10"/>
        <rFont val="Arial"/>
        <family val="2"/>
        <charset val="204"/>
      </rPr>
      <t xml:space="preserve">
Поправка: п.8.7.1</t>
    </r>
  </si>
  <si>
    <r>
      <t>13-06-004-01</t>
    </r>
    <r>
      <rPr>
        <i/>
        <sz val="10"/>
        <rFont val="Arial"/>
        <family val="2"/>
        <charset val="204"/>
      </rPr>
      <t xml:space="preserve">
Поправка: п.8.7.1</t>
    </r>
  </si>
  <si>
    <r>
      <t>26-01-021-01</t>
    </r>
    <r>
      <rPr>
        <i/>
        <sz val="10"/>
        <rFont val="Arial"/>
        <family val="2"/>
        <charset val="204"/>
      </rPr>
      <t xml:space="preserve">
Поправка: п.8.7.1</t>
    </r>
  </si>
  <si>
    <r>
      <t>Полиненоуретановая пена с фреоновым вспенивателем горячего напыления плотностью 42-55 кг/м3, теплопроводностью 0,028-0,032 Вт/мК Wetisol SprayFoam-50 или аналог</t>
    </r>
    <r>
      <rPr>
        <i/>
        <sz val="10"/>
        <rFont val="Arial"/>
        <family val="2"/>
        <charset val="204"/>
      </rPr>
      <t xml:space="preserve">
Базисная стоимость: 255,00 = [295 / 1,18] +  2% Заг.скл</t>
    </r>
  </si>
  <si>
    <r>
      <t>Полимочевина (поликарбомид) ароматическая:КМ2, удлинение при разрыве 350-400мм, прочность на разрыв не менее 20Мпа, твердость по Шору не менее 45 ед, истираемость по таберу не более 26 мг. Wetosol Spray-400 или аналог</t>
    </r>
    <r>
      <rPr>
        <i/>
        <sz val="10"/>
        <rFont val="Arial"/>
        <family val="2"/>
        <charset val="204"/>
      </rPr>
      <t xml:space="preserve">
Базисная стоимость: 453,82 = [525 / 1,18] +  2% Заг.скл</t>
    </r>
  </si>
  <si>
    <r>
      <t>УФ-стойкое покрытие Wetisol Spray-400 UV или аналог</t>
    </r>
    <r>
      <rPr>
        <i/>
        <sz val="10"/>
        <rFont val="Arial"/>
        <family val="2"/>
        <charset val="204"/>
      </rPr>
      <t xml:space="preserve">
Базисная стоимость: 656,95 = [760 / 1,18] +  2% Заг.скл</t>
    </r>
  </si>
  <si>
    <r>
      <t>12-01-035-02</t>
    </r>
    <r>
      <rPr>
        <i/>
        <sz val="10"/>
        <rFont val="Arial"/>
        <family val="2"/>
        <charset val="204"/>
      </rPr>
      <t xml:space="preserve">
Поправка: п.8.7.1</t>
    </r>
  </si>
  <si>
    <r>
      <t>12-01-010-01</t>
    </r>
    <r>
      <rPr>
        <i/>
        <sz val="10"/>
        <rFont val="Arial"/>
        <family val="2"/>
        <charset val="204"/>
      </rPr>
      <t xml:space="preserve">
Поправка: п.8.7.1</t>
    </r>
  </si>
  <si>
    <t xml:space="preserve">   </t>
  </si>
  <si>
    <t xml:space="preserve">Составил  </t>
  </si>
  <si>
    <t>[должность,подпись(инициалы,фамилия)]</t>
  </si>
  <si>
    <t xml:space="preserve">Мы, нижеподписавшиеся, произвели осмотр объекта </t>
  </si>
  <si>
    <t xml:space="preserve">и постановили произвести ремонт объекта в </t>
  </si>
  <si>
    <t>следующем объеме:</t>
  </si>
  <si>
    <t>Единица измерения</t>
  </si>
  <si>
    <t>Количество</t>
  </si>
  <si>
    <t>Примечание</t>
  </si>
  <si>
    <t>Заказчик _________________</t>
  </si>
  <si>
    <t>Подрядчик _________________</t>
  </si>
  <si>
    <t>(наименование работ и затрат)</t>
  </si>
  <si>
    <t>Шифр норматива и коды ресурсов</t>
  </si>
  <si>
    <t>Наименование работ и затрат, характеристика оборудования</t>
  </si>
  <si>
    <t>Количество на единицу</t>
  </si>
  <si>
    <t>Попра-вочные коэффи-
циенты</t>
  </si>
  <si>
    <t>Количество общее</t>
  </si>
  <si>
    <t xml:space="preserve">Составил   </t>
  </si>
  <si>
    <t>(должность, подпись, инициалы, фамилия)</t>
  </si>
  <si>
    <t>руб.</t>
  </si>
  <si>
    <t xml:space="preserve">Начальник сметного бюро  </t>
  </si>
  <si>
    <t xml:space="preserve">Начальник ПТО </t>
  </si>
  <si>
    <t>Гержан А.Д.</t>
  </si>
</sst>
</file>

<file path=xl/styles.xml><?xml version="1.0" encoding="utf-8"?>
<styleSheet xmlns="http://schemas.openxmlformats.org/spreadsheetml/2006/main">
  <numFmts count="3">
    <numFmt numFmtId="164" formatCode="#,##0.00;[Red]\-\ #,##0.00"/>
    <numFmt numFmtId="165" formatCode="#,##0.00####;[Red]\-\ #,##0.00####"/>
    <numFmt numFmtId="166" formatCode="#,##0.00_ ;[Red]\-#,##0.00\ "/>
  </numFmts>
  <fonts count="21">
    <font>
      <sz val="10"/>
      <name val="Arial"/>
      <charset val="204"/>
    </font>
    <font>
      <b/>
      <sz val="10"/>
      <color indexed="12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3"/>
      <name val="Arial"/>
      <family val="2"/>
      <charset val="204"/>
    </font>
    <font>
      <i/>
      <sz val="9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Border="1" applyAlignment="1">
      <alignment wrapText="1"/>
    </xf>
    <xf numFmtId="0" fontId="9" fillId="0" borderId="0" xfId="0" applyFont="1"/>
    <xf numFmtId="0" fontId="12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0" xfId="0" applyFont="1"/>
    <xf numFmtId="164" fontId="0" fillId="0" borderId="0" xfId="0" applyNumberFormat="1"/>
    <xf numFmtId="0" fontId="9" fillId="0" borderId="2" xfId="0" applyFont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2" fillId="0" borderId="0" xfId="0" applyFont="1"/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right" wrapText="1"/>
    </xf>
    <xf numFmtId="165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 wrapText="1"/>
    </xf>
    <xf numFmtId="164" fontId="9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164" fontId="11" fillId="0" borderId="0" xfId="0" applyNumberFormat="1" applyFont="1" applyAlignment="1">
      <alignment horizontal="right"/>
    </xf>
    <xf numFmtId="0" fontId="15" fillId="0" borderId="2" xfId="0" applyFont="1" applyBorder="1" applyAlignment="1">
      <alignment horizontal="right" wrapText="1"/>
    </xf>
    <xf numFmtId="0" fontId="9" fillId="0" borderId="2" xfId="0" applyFont="1" applyBorder="1" applyAlignment="1">
      <alignment horizontal="right"/>
    </xf>
    <xf numFmtId="165" fontId="9" fillId="0" borderId="2" xfId="0" applyNumberFormat="1" applyFont="1" applyBorder="1" applyAlignment="1">
      <alignment horizontal="right"/>
    </xf>
    <xf numFmtId="0" fontId="9" fillId="0" borderId="2" xfId="0" quotePrefix="1" applyFont="1" applyBorder="1" applyAlignment="1">
      <alignment horizontal="right" wrapText="1"/>
    </xf>
    <xf numFmtId="164" fontId="9" fillId="0" borderId="2" xfId="0" applyNumberFormat="1" applyFont="1" applyBorder="1" applyAlignment="1">
      <alignment horizontal="right"/>
    </xf>
    <xf numFmtId="0" fontId="9" fillId="0" borderId="2" xfId="0" applyFont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164" fontId="17" fillId="0" borderId="0" xfId="0" applyNumberFormat="1" applyFont="1" applyAlignment="1">
      <alignment horizontal="right"/>
    </xf>
    <xf numFmtId="164" fontId="11" fillId="0" borderId="2" xfId="0" applyNumberFormat="1" applyFont="1" applyBorder="1" applyAlignment="1">
      <alignment horizontal="right"/>
    </xf>
    <xf numFmtId="164" fontId="15" fillId="0" borderId="0" xfId="0" applyNumberFormat="1" applyFont="1" applyAlignment="1">
      <alignment horizontal="right"/>
    </xf>
    <xf numFmtId="0" fontId="9" fillId="0" borderId="0" xfId="0" quotePrefix="1" applyFont="1" applyAlignment="1">
      <alignment horizontal="right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165" fontId="14" fillId="0" borderId="0" xfId="0" applyNumberFormat="1" applyFont="1" applyAlignment="1">
      <alignment horizontal="left"/>
    </xf>
    <xf numFmtId="0" fontId="13" fillId="0" borderId="2" xfId="0" applyFont="1" applyBorder="1" applyAlignment="1">
      <alignment horizont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vertical="top"/>
    </xf>
    <xf numFmtId="0" fontId="9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right" wrapText="1"/>
    </xf>
    <xf numFmtId="0" fontId="9" fillId="0" borderId="3" xfId="0" applyFont="1" applyBorder="1" applyAlignment="1">
      <alignment horizontal="right"/>
    </xf>
    <xf numFmtId="0" fontId="9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right" wrapText="1"/>
    </xf>
    <xf numFmtId="0" fontId="9" fillId="0" borderId="5" xfId="0" applyFont="1" applyBorder="1" applyAlignment="1">
      <alignment horizontal="right"/>
    </xf>
    <xf numFmtId="0" fontId="20" fillId="0" borderId="0" xfId="0" applyFont="1"/>
    <xf numFmtId="0" fontId="11" fillId="0" borderId="0" xfId="0" applyFont="1" applyBorder="1" applyAlignment="1">
      <alignment horizontal="center" vertical="top"/>
    </xf>
    <xf numFmtId="164" fontId="12" fillId="0" borderId="0" xfId="0" applyNumberFormat="1" applyFont="1" applyAlignment="1">
      <alignment horizontal="right"/>
    </xf>
    <xf numFmtId="0" fontId="11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/>
    </xf>
    <xf numFmtId="0" fontId="1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wrapText="1"/>
    </xf>
    <xf numFmtId="165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 wrapText="1"/>
    </xf>
    <xf numFmtId="165" fontId="17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left" wrapText="1"/>
    </xf>
    <xf numFmtId="166" fontId="11" fillId="0" borderId="3" xfId="0" applyNumberFormat="1" applyFont="1" applyBorder="1" applyAlignment="1">
      <alignment horizontal="right"/>
    </xf>
    <xf numFmtId="0" fontId="11" fillId="0" borderId="2" xfId="0" applyFont="1" applyBorder="1"/>
    <xf numFmtId="164" fontId="12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 wrapText="1"/>
    </xf>
    <xf numFmtId="164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right"/>
    </xf>
    <xf numFmtId="0" fontId="9" fillId="0" borderId="2" xfId="0" applyFont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12" fillId="0" borderId="0" xfId="0" applyFont="1"/>
    <xf numFmtId="164" fontId="12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9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/>
    <xf numFmtId="0" fontId="19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65"/>
  <sheetViews>
    <sheetView tabSelected="1" topLeftCell="A133" zoomScaleNormal="100" workbookViewId="0">
      <selection activeCell="M91" sqref="M91"/>
    </sheetView>
  </sheetViews>
  <sheetFormatPr defaultRowHeight="12.75"/>
  <cols>
    <col min="1" max="1" width="5.7109375" customWidth="1"/>
    <col min="2" max="2" width="11.7109375" customWidth="1"/>
    <col min="3" max="3" width="40.7109375" customWidth="1"/>
    <col min="4" max="5" width="10.7109375" customWidth="1"/>
    <col min="6" max="8" width="12.7109375" customWidth="1"/>
    <col min="9" max="9" width="17.7109375" customWidth="1"/>
    <col min="10" max="10" width="8.7109375" customWidth="1"/>
    <col min="11" max="11" width="12.7109375" customWidth="1"/>
    <col min="12" max="12" width="8.7109375" customWidth="1"/>
    <col min="15" max="29" width="0" hidden="1" customWidth="1"/>
    <col min="30" max="30" width="147.7109375" hidden="1" customWidth="1"/>
    <col min="31" max="31" width="0" hidden="1" customWidth="1"/>
    <col min="32" max="32" width="91.7109375" hidden="1" customWidth="1"/>
    <col min="33" max="36" width="0" hidden="1" customWidth="1"/>
  </cols>
  <sheetData>
    <row r="1" spans="1:30" ht="15.75">
      <c r="A1" s="11"/>
      <c r="B1" s="88" t="str">
        <f>CONCATENATE( "ЛОКАЛЬНАЯ СМЕТА № ",IF(Source!F20&lt;&gt;"Новая локальная смета", Source!F20, ""))</f>
        <v xml:space="preserve">ЛОКАЛЬНАЯ СМЕТА № </v>
      </c>
      <c r="C1" s="88"/>
      <c r="D1" s="88"/>
      <c r="E1" s="88"/>
      <c r="F1" s="88"/>
      <c r="G1" s="88"/>
      <c r="H1" s="88"/>
      <c r="I1" s="88"/>
      <c r="J1" s="88"/>
      <c r="K1" s="88"/>
      <c r="L1" s="11"/>
    </row>
    <row r="2" spans="1:30" ht="15.7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1"/>
    </row>
    <row r="3" spans="1:30" ht="18">
      <c r="A3" s="10"/>
      <c r="B3" s="89" t="str">
        <f>IF(Source!G12&lt;&gt;"Новый объект", Source!G12, "")</f>
        <v>Ремонт кровли корпуса №1, оси 6-25 методом напыления полимочевины. Филиал ВМЗ "Салют"</v>
      </c>
      <c r="C3" s="89"/>
      <c r="D3" s="89"/>
      <c r="E3" s="89"/>
      <c r="F3" s="89"/>
      <c r="G3" s="89"/>
      <c r="H3" s="89"/>
      <c r="I3" s="89"/>
      <c r="J3" s="89"/>
      <c r="K3" s="89"/>
      <c r="L3" s="13"/>
      <c r="AD3" s="47" t="str">
        <f>IF(Source!G12&lt;&gt;"Новый объект", Source!G12, "")</f>
        <v>Ремонт кровли корпуса №1, оси 6-25 методом напыления полимочевины. Филиал ВМЗ "Салют"</v>
      </c>
    </row>
    <row r="4" spans="1:30" ht="14.25">
      <c r="A4" s="10"/>
      <c r="B4" s="90" t="s">
        <v>405</v>
      </c>
      <c r="C4" s="90"/>
      <c r="D4" s="90"/>
      <c r="E4" s="90"/>
      <c r="F4" s="90"/>
      <c r="G4" s="90"/>
      <c r="H4" s="90"/>
      <c r="I4" s="90"/>
      <c r="J4" s="90"/>
      <c r="K4" s="90"/>
      <c r="L4" s="9"/>
    </row>
    <row r="5" spans="1:30" ht="14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30" ht="14.25">
      <c r="A6" s="85" t="str">
        <f>CONCATENATE("Основание: ", Source!J20)</f>
        <v>Основание: Техническое задание №09.12.002 Никонов М.А.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30" s="62" customFormat="1" ht="15">
      <c r="A7" s="22"/>
      <c r="B7" s="22"/>
      <c r="C7" s="91" t="s">
        <v>407</v>
      </c>
      <c r="D7" s="91"/>
      <c r="E7" s="91"/>
      <c r="F7" s="91"/>
      <c r="G7" s="93">
        <v>21242009.809999999</v>
      </c>
      <c r="H7" s="93"/>
      <c r="I7" s="93">
        <v>21242009.809999999</v>
      </c>
      <c r="J7" s="93"/>
      <c r="K7" s="92" t="s">
        <v>457</v>
      </c>
      <c r="L7" s="92"/>
    </row>
    <row r="8" spans="1:30" ht="14.25">
      <c r="A8" s="87" t="s">
        <v>420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30" ht="57">
      <c r="A9" s="14" t="s">
        <v>408</v>
      </c>
      <c r="B9" s="14" t="s">
        <v>409</v>
      </c>
      <c r="C9" s="14" t="s">
        <v>410</v>
      </c>
      <c r="D9" s="14" t="s">
        <v>411</v>
      </c>
      <c r="E9" s="14" t="s">
        <v>412</v>
      </c>
      <c r="F9" s="14" t="s">
        <v>413</v>
      </c>
      <c r="G9" s="14" t="s">
        <v>414</v>
      </c>
      <c r="H9" s="14" t="s">
        <v>415</v>
      </c>
      <c r="I9" s="14" t="s">
        <v>416</v>
      </c>
      <c r="J9" s="14" t="s">
        <v>417</v>
      </c>
      <c r="K9" s="14" t="s">
        <v>418</v>
      </c>
      <c r="L9" s="14" t="s">
        <v>419</v>
      </c>
    </row>
    <row r="10" spans="1:30" ht="14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5">
        <v>11</v>
      </c>
      <c r="L10" s="16">
        <v>12</v>
      </c>
    </row>
    <row r="11" spans="1:30" ht="57">
      <c r="A11" s="42" t="str">
        <f>Source!E24</f>
        <v>1</v>
      </c>
      <c r="B11" s="43" t="str">
        <f>Source!F24</f>
        <v>58-3-1</v>
      </c>
      <c r="C11" s="43" t="str">
        <f>Source!G24</f>
        <v>Разборка мелких покрытий и обделок из листовой стали поясков, сандриков, желобов, отливов, свесов и т.п. (парапеты)</v>
      </c>
      <c r="D11" s="24" t="str">
        <f>Source!DW24</f>
        <v>100 м</v>
      </c>
      <c r="E11" s="21">
        <f>Source!I24</f>
        <v>3.6</v>
      </c>
      <c r="F11" s="25">
        <f>Source!AL24+Source!AM24+Source!AO24</f>
        <v>71.180000000000007</v>
      </c>
      <c r="G11" s="26"/>
      <c r="H11" s="27"/>
      <c r="I11" s="26" t="str">
        <f>Source!BO24</f>
        <v>58-3-1</v>
      </c>
      <c r="J11" s="26"/>
      <c r="K11" s="27"/>
      <c r="L11" s="28"/>
      <c r="S11">
        <f>ROUND((Source!FX24/100)*((ROUND(Source!AF24*Source!I24, 2)+ROUND(Source!AE24*Source!I24, 2))), 2)</f>
        <v>212.09</v>
      </c>
      <c r="T11">
        <f>Source!X24</f>
        <v>4697.09</v>
      </c>
      <c r="U11">
        <f>ROUND((Source!FY24/100)*((ROUND(Source!AF24*Source!I24, 2)+ROUND(Source!AE24*Source!I24, 2))), 2)</f>
        <v>166.09</v>
      </c>
      <c r="V11">
        <f>Source!Y24</f>
        <v>3440.12</v>
      </c>
    </row>
    <row r="12" spans="1:30" ht="14.25">
      <c r="A12" s="42"/>
      <c r="B12" s="43"/>
      <c r="C12" s="43" t="s">
        <v>421</v>
      </c>
      <c r="D12" s="24"/>
      <c r="E12" s="21"/>
      <c r="F12" s="25">
        <f>Source!AO24</f>
        <v>70.98</v>
      </c>
      <c r="G12" s="26" t="str">
        <f>Source!DG24</f>
        <v/>
      </c>
      <c r="H12" s="27">
        <f>ROUND(Source!AF24*Source!I24, 2)</f>
        <v>255.53</v>
      </c>
      <c r="I12" s="26"/>
      <c r="J12" s="26">
        <f>IF(Source!BA24&lt;&gt; 0, Source!BA24, 1)</f>
        <v>25.89</v>
      </c>
      <c r="K12" s="27">
        <f>Source!S24</f>
        <v>6615.62</v>
      </c>
      <c r="L12" s="28"/>
      <c r="R12">
        <f>H12</f>
        <v>255.53</v>
      </c>
    </row>
    <row r="13" spans="1:30" ht="14.25">
      <c r="A13" s="42"/>
      <c r="B13" s="43"/>
      <c r="C13" s="43" t="s">
        <v>189</v>
      </c>
      <c r="D13" s="24"/>
      <c r="E13" s="21"/>
      <c r="F13" s="25">
        <f>Source!AM24</f>
        <v>0.2</v>
      </c>
      <c r="G13" s="26" t="str">
        <f>Source!DE24</f>
        <v/>
      </c>
      <c r="H13" s="27">
        <f>ROUND(Source!AD24*Source!I24, 2)</f>
        <v>0.72</v>
      </c>
      <c r="I13" s="26"/>
      <c r="J13" s="26">
        <f>IF(Source!BB24&lt;&gt; 0, Source!BB24, 1)</f>
        <v>3.42</v>
      </c>
      <c r="K13" s="27">
        <f>Source!Q24</f>
        <v>2.46</v>
      </c>
      <c r="L13" s="28"/>
    </row>
    <row r="14" spans="1:30" ht="14.25">
      <c r="A14" s="42"/>
      <c r="B14" s="43"/>
      <c r="C14" s="43" t="s">
        <v>422</v>
      </c>
      <c r="D14" s="24" t="s">
        <v>423</v>
      </c>
      <c r="E14" s="21">
        <f>Source!BZ24</f>
        <v>83</v>
      </c>
      <c r="F14" s="46"/>
      <c r="G14" s="26"/>
      <c r="H14" s="27">
        <f>SUM(S11:S17)</f>
        <v>212.09</v>
      </c>
      <c r="I14" s="29" t="str">
        <f>CONCATENATE(Source!FX24, Source!FV24, "=")</f>
        <v>83*0,85=</v>
      </c>
      <c r="J14" s="23">
        <f>Source!AT24</f>
        <v>71</v>
      </c>
      <c r="K14" s="27">
        <f>SUM(T11:T17)</f>
        <v>4697.09</v>
      </c>
      <c r="L14" s="28"/>
    </row>
    <row r="15" spans="1:30" ht="14.25">
      <c r="A15" s="42"/>
      <c r="B15" s="43"/>
      <c r="C15" s="43" t="s">
        <v>424</v>
      </c>
      <c r="D15" s="24" t="s">
        <v>423</v>
      </c>
      <c r="E15" s="21">
        <f>Source!CA24</f>
        <v>65</v>
      </c>
      <c r="F15" s="46"/>
      <c r="G15" s="26"/>
      <c r="H15" s="27">
        <f>SUM(U11:U17)</f>
        <v>166.09</v>
      </c>
      <c r="I15" s="29" t="str">
        <f>CONCATENATE(Source!FY24, Source!FW24, "=")</f>
        <v>65*0,8=</v>
      </c>
      <c r="J15" s="23">
        <f>Source!AU24</f>
        <v>52</v>
      </c>
      <c r="K15" s="27">
        <f>SUM(V11:V17)</f>
        <v>3440.12</v>
      </c>
      <c r="L15" s="28"/>
    </row>
    <row r="16" spans="1:30" ht="14.25">
      <c r="A16" s="42"/>
      <c r="B16" s="43"/>
      <c r="C16" s="43" t="s">
        <v>425</v>
      </c>
      <c r="D16" s="24" t="s">
        <v>426</v>
      </c>
      <c r="E16" s="21">
        <f>Source!AQ24</f>
        <v>9.1</v>
      </c>
      <c r="F16" s="25"/>
      <c r="G16" s="26" t="str">
        <f>Source!DI24</f>
        <v/>
      </c>
      <c r="H16" s="27"/>
      <c r="I16" s="26"/>
      <c r="J16" s="26"/>
      <c r="K16" s="27"/>
      <c r="L16" s="30">
        <f>Source!U24</f>
        <v>32.76</v>
      </c>
    </row>
    <row r="17" spans="1:26" ht="14.25">
      <c r="A17" s="44" t="str">
        <f>Source!E25</f>
        <v>1,1</v>
      </c>
      <c r="B17" s="45" t="str">
        <f>Source!F25</f>
        <v>01.7.07.07</v>
      </c>
      <c r="C17" s="45" t="str">
        <f>Source!G25</f>
        <v>Строительный мусор</v>
      </c>
      <c r="D17" s="31" t="str">
        <f>Source!DW25</f>
        <v>т</v>
      </c>
      <c r="E17" s="32">
        <f>Source!I25</f>
        <v>0.432</v>
      </c>
      <c r="F17" s="33">
        <f>Source!AL25+Source!AM25+Source!AO25</f>
        <v>0</v>
      </c>
      <c r="G17" s="34" t="s">
        <v>6</v>
      </c>
      <c r="H17" s="35">
        <f>ROUND(Source!AC25*Source!I25, 2)+ROUND(Source!AD25*Source!I25, 2)+ROUND(Source!AF25*Source!I25, 2)</f>
        <v>0</v>
      </c>
      <c r="I17" s="36"/>
      <c r="J17" s="36">
        <f>IF(Source!BC25&lt;&gt; 0, Source!BC25, 1)</f>
        <v>1</v>
      </c>
      <c r="K17" s="35">
        <f>Source!O25</f>
        <v>0</v>
      </c>
      <c r="L17" s="37"/>
      <c r="S17">
        <f>ROUND((Source!FX25/100)*((ROUND(Source!AF25*Source!I25, 2)+ROUND(Source!AE25*Source!I25, 2))), 2)</f>
        <v>0</v>
      </c>
      <c r="T17">
        <f>Source!X25</f>
        <v>0</v>
      </c>
      <c r="U17">
        <f>ROUND((Source!FY25/100)*((ROUND(Source!AF25*Source!I25, 2)+ROUND(Source!AE25*Source!I25, 2))), 2)</f>
        <v>0</v>
      </c>
      <c r="V17">
        <f>Source!Y25</f>
        <v>0</v>
      </c>
      <c r="W17">
        <f>IF(Source!BI25&lt;=1,H17, 0)</f>
        <v>0</v>
      </c>
      <c r="X17">
        <f>IF(Source!BI25=2,H17, 0)</f>
        <v>0</v>
      </c>
      <c r="Y17">
        <f>IF(Source!BI25=3,H17, 0)</f>
        <v>0</v>
      </c>
      <c r="Z17">
        <f>IF(Source!BI25=4,H17, 0)</f>
        <v>0</v>
      </c>
    </row>
    <row r="18" spans="1:26" ht="15">
      <c r="G18" s="79">
        <f>H12+H13+H14+H15+SUM(H17:H17)</f>
        <v>634.43000000000006</v>
      </c>
      <c r="H18" s="79"/>
      <c r="J18" s="79">
        <f>K12+K13+K14+K15+SUM(K17:K17)</f>
        <v>14755.29</v>
      </c>
      <c r="K18" s="79"/>
      <c r="L18" s="38">
        <f>Source!U24</f>
        <v>32.76</v>
      </c>
      <c r="O18" s="18">
        <f>G18</f>
        <v>634.43000000000006</v>
      </c>
      <c r="P18" s="18">
        <f>J18</f>
        <v>14755.29</v>
      </c>
      <c r="Q18" s="18">
        <f>L18</f>
        <v>32.76</v>
      </c>
      <c r="W18">
        <f>IF(Source!BI24&lt;=1,H12+H13+H14+H15, 0)</f>
        <v>634.43000000000006</v>
      </c>
      <c r="X18">
        <f>IF(Source!BI24=2,H12+H13+H14+H15, 0)</f>
        <v>0</v>
      </c>
      <c r="Y18">
        <f>IF(Source!BI24=3,H12+H13+H14+H15, 0)</f>
        <v>0</v>
      </c>
      <c r="Z18">
        <f>IF(Source!BI24=4,H12+H13+H14+H15, 0)</f>
        <v>0</v>
      </c>
    </row>
    <row r="19" spans="1:26" ht="28.5">
      <c r="A19" s="42" t="str">
        <f>Source!E26</f>
        <v>2</v>
      </c>
      <c r="B19" s="43" t="str">
        <f>Source!F26</f>
        <v>46-04-008-01</v>
      </c>
      <c r="C19" s="43" t="str">
        <f>Source!G26</f>
        <v>Разборка водоизоляционного слоя примыканий (прим.)</v>
      </c>
      <c r="D19" s="24" t="str">
        <f>Source!DW26</f>
        <v>100 м2</v>
      </c>
      <c r="E19" s="21">
        <f>Source!I26</f>
        <v>2.16</v>
      </c>
      <c r="F19" s="25">
        <f>Source!AL26+Source!AM26+Source!AO26</f>
        <v>153.59</v>
      </c>
      <c r="G19" s="26"/>
      <c r="H19" s="27"/>
      <c r="I19" s="26" t="str">
        <f>Source!BO26</f>
        <v>46-04-008-01</v>
      </c>
      <c r="J19" s="26"/>
      <c r="K19" s="27"/>
      <c r="L19" s="28"/>
      <c r="S19">
        <f>ROUND((Source!FX26/100)*((ROUND(Source!AF26*Source!I26, 2)+ROUND(Source!AE26*Source!I26, 2))), 2)</f>
        <v>266.5</v>
      </c>
      <c r="T19">
        <f>Source!X26</f>
        <v>5895.92</v>
      </c>
      <c r="U19">
        <f>ROUND((Source!FY26/100)*((ROUND(Source!AF26*Source!I26, 2)+ROUND(Source!AE26*Source!I26, 2))), 2)</f>
        <v>144.15</v>
      </c>
      <c r="V19">
        <f>Source!Y26</f>
        <v>3010.68</v>
      </c>
    </row>
    <row r="20" spans="1:26" ht="14.25">
      <c r="A20" s="42"/>
      <c r="B20" s="43"/>
      <c r="C20" s="43" t="s">
        <v>421</v>
      </c>
      <c r="D20" s="24"/>
      <c r="E20" s="21"/>
      <c r="F20" s="25">
        <f>Source!AO26</f>
        <v>112.16</v>
      </c>
      <c r="G20" s="26" t="str">
        <f>Source!DG26</f>
        <v/>
      </c>
      <c r="H20" s="27">
        <f>ROUND(Source!AF26*Source!I26, 2)</f>
        <v>242.27</v>
      </c>
      <c r="I20" s="26"/>
      <c r="J20" s="26">
        <f>IF(Source!BA26&lt;&gt; 0, Source!BA26, 1)</f>
        <v>25.89</v>
      </c>
      <c r="K20" s="27">
        <f>Source!S26</f>
        <v>6272.26</v>
      </c>
      <c r="L20" s="28"/>
      <c r="R20">
        <f>H20</f>
        <v>242.27</v>
      </c>
    </row>
    <row r="21" spans="1:26" ht="14.25">
      <c r="A21" s="42"/>
      <c r="B21" s="43"/>
      <c r="C21" s="43" t="s">
        <v>189</v>
      </c>
      <c r="D21" s="24"/>
      <c r="E21" s="21"/>
      <c r="F21" s="25">
        <f>Source!AM26</f>
        <v>41.43</v>
      </c>
      <c r="G21" s="26" t="str">
        <f>Source!DE26</f>
        <v/>
      </c>
      <c r="H21" s="27">
        <f>ROUND(Source!AD26*Source!I26, 2)</f>
        <v>89.49</v>
      </c>
      <c r="I21" s="26"/>
      <c r="J21" s="26">
        <f>IF(Source!BB26&lt;&gt; 0, Source!BB26, 1)</f>
        <v>3.24</v>
      </c>
      <c r="K21" s="27">
        <f>Source!Q26</f>
        <v>289.94</v>
      </c>
      <c r="L21" s="28"/>
    </row>
    <row r="22" spans="1:26" ht="14.25">
      <c r="A22" s="42"/>
      <c r="B22" s="43"/>
      <c r="C22" s="43" t="s">
        <v>422</v>
      </c>
      <c r="D22" s="24" t="s">
        <v>423</v>
      </c>
      <c r="E22" s="21">
        <f>Source!BZ26</f>
        <v>110</v>
      </c>
      <c r="F22" s="46"/>
      <c r="G22" s="26"/>
      <c r="H22" s="27">
        <f>SUM(S19:S24)</f>
        <v>266.5</v>
      </c>
      <c r="I22" s="29" t="str">
        <f>CONCATENATE(Source!FX26, Source!FV26, "=")</f>
        <v>110*0,85=</v>
      </c>
      <c r="J22" s="23">
        <f>Source!AT26</f>
        <v>94</v>
      </c>
      <c r="K22" s="27">
        <f>SUM(T19:T24)</f>
        <v>5895.92</v>
      </c>
      <c r="L22" s="28"/>
    </row>
    <row r="23" spans="1:26" ht="14.25">
      <c r="A23" s="42"/>
      <c r="B23" s="43"/>
      <c r="C23" s="43" t="s">
        <v>424</v>
      </c>
      <c r="D23" s="24" t="s">
        <v>423</v>
      </c>
      <c r="E23" s="21">
        <f>Source!CA26</f>
        <v>70</v>
      </c>
      <c r="F23" s="81" t="str">
        <f>CONCATENATE(" )", Source!DM26, Source!FU26, "=", Source!FY26)</f>
        <v xml:space="preserve"> )*0,85=59,5</v>
      </c>
      <c r="G23" s="82"/>
      <c r="H23" s="27">
        <f>SUM(U19:U24)</f>
        <v>144.15</v>
      </c>
      <c r="I23" s="29" t="str">
        <f>CONCATENATE(Source!FY26, Source!FW26, "=")</f>
        <v>59,5*0,8=</v>
      </c>
      <c r="J23" s="23">
        <f>Source!AU26</f>
        <v>48</v>
      </c>
      <c r="K23" s="27">
        <f>SUM(V19:V24)</f>
        <v>3010.68</v>
      </c>
      <c r="L23" s="28"/>
    </row>
    <row r="24" spans="1:26" ht="14.25">
      <c r="A24" s="44"/>
      <c r="B24" s="45"/>
      <c r="C24" s="45" t="s">
        <v>425</v>
      </c>
      <c r="D24" s="31" t="s">
        <v>426</v>
      </c>
      <c r="E24" s="32">
        <f>Source!AQ26</f>
        <v>14.38</v>
      </c>
      <c r="F24" s="33"/>
      <c r="G24" s="36" t="str">
        <f>Source!DI26</f>
        <v/>
      </c>
      <c r="H24" s="35"/>
      <c r="I24" s="36"/>
      <c r="J24" s="36"/>
      <c r="K24" s="35"/>
      <c r="L24" s="39">
        <f>Source!U26</f>
        <v>31.060800000000004</v>
      </c>
    </row>
    <row r="25" spans="1:26" ht="15">
      <c r="G25" s="79">
        <f>H20+H21+H22+H23</f>
        <v>742.41</v>
      </c>
      <c r="H25" s="79"/>
      <c r="J25" s="79">
        <f>K20+K21+K22+K23</f>
        <v>15468.8</v>
      </c>
      <c r="K25" s="79"/>
      <c r="L25" s="38">
        <f>Source!U26</f>
        <v>31.060800000000004</v>
      </c>
      <c r="O25" s="18">
        <f>G25</f>
        <v>742.41</v>
      </c>
      <c r="P25" s="18">
        <f>J25</f>
        <v>15468.8</v>
      </c>
      <c r="Q25" s="18">
        <f>L25</f>
        <v>31.060800000000004</v>
      </c>
      <c r="W25">
        <f>IF(Source!BI26&lt;=1,H20+H21+H22+H23, 0)</f>
        <v>742.41</v>
      </c>
      <c r="X25">
        <f>IF(Source!BI26=2,H20+H21+H22+H23, 0)</f>
        <v>0</v>
      </c>
      <c r="Y25">
        <f>IF(Source!BI26=3,H20+H21+H22+H23, 0)</f>
        <v>0</v>
      </c>
      <c r="Z25">
        <f>IF(Source!BI26=4,H20+H21+H22+H23, 0)</f>
        <v>0</v>
      </c>
    </row>
    <row r="26" spans="1:26" ht="28.5">
      <c r="A26" s="42" t="str">
        <f>Source!E27</f>
        <v>3</v>
      </c>
      <c r="B26" s="43" t="str">
        <f>Source!F27</f>
        <v>58-7-1</v>
      </c>
      <c r="C26" s="43" t="str">
        <f>Source!G27</f>
        <v>Ремонт отдельными местами рулонного покрытия с заменой 1 слоя</v>
      </c>
      <c r="D26" s="24" t="str">
        <f>Source!DW27</f>
        <v>100 м2</v>
      </c>
      <c r="E26" s="21">
        <f>Source!I27</f>
        <v>28</v>
      </c>
      <c r="F26" s="25">
        <f>Source!AL27+Source!AM27+Source!AO27</f>
        <v>1347.8</v>
      </c>
      <c r="G26" s="26"/>
      <c r="H26" s="27"/>
      <c r="I26" s="26" t="str">
        <f>Source!BO27</f>
        <v>58-7-1</v>
      </c>
      <c r="J26" s="26"/>
      <c r="K26" s="27"/>
      <c r="L26" s="28"/>
      <c r="S26">
        <f>ROUND((Source!FX27/100)*((ROUND(Source!AF27*Source!I27, 2)+ROUND(Source!AE27*Source!I27, 2))), 2)</f>
        <v>4613.84</v>
      </c>
      <c r="T26">
        <f>Source!X27</f>
        <v>102182.04</v>
      </c>
      <c r="U26">
        <f>ROUND((Source!FY27/100)*((ROUND(Source!AF27*Source!I27, 2)+ROUND(Source!AE27*Source!I27, 2))), 2)</f>
        <v>3613.25</v>
      </c>
      <c r="V26">
        <f>Source!Y27</f>
        <v>74837.55</v>
      </c>
    </row>
    <row r="27" spans="1:26" ht="14.25">
      <c r="A27" s="42"/>
      <c r="B27" s="43"/>
      <c r="C27" s="43" t="s">
        <v>421</v>
      </c>
      <c r="D27" s="24"/>
      <c r="E27" s="21"/>
      <c r="F27" s="25">
        <f>Source!AO27</f>
        <v>195.34</v>
      </c>
      <c r="G27" s="26" t="str">
        <f>Source!DG27</f>
        <v/>
      </c>
      <c r="H27" s="27">
        <f>ROUND(Source!AF27*Source!I27, 2)</f>
        <v>5469.52</v>
      </c>
      <c r="I27" s="26"/>
      <c r="J27" s="26">
        <f>IF(Source!BA27&lt;&gt; 0, Source!BA27, 1)</f>
        <v>25.89</v>
      </c>
      <c r="K27" s="27">
        <f>Source!S27</f>
        <v>141605.87</v>
      </c>
      <c r="L27" s="28"/>
      <c r="R27">
        <f>H27</f>
        <v>5469.52</v>
      </c>
    </row>
    <row r="28" spans="1:26" ht="14.25">
      <c r="A28" s="42"/>
      <c r="B28" s="43"/>
      <c r="C28" s="43" t="s">
        <v>189</v>
      </c>
      <c r="D28" s="24"/>
      <c r="E28" s="21"/>
      <c r="F28" s="25">
        <f>Source!AM27</f>
        <v>33.76</v>
      </c>
      <c r="G28" s="26" t="str">
        <f>Source!DE27</f>
        <v/>
      </c>
      <c r="H28" s="27">
        <f>ROUND(Source!AD27*Source!I27, 2)</f>
        <v>945.28</v>
      </c>
      <c r="I28" s="26"/>
      <c r="J28" s="26">
        <f>IF(Source!BB27&lt;&gt; 0, Source!BB27, 1)</f>
        <v>6.14</v>
      </c>
      <c r="K28" s="27">
        <f>Source!Q27</f>
        <v>5804.02</v>
      </c>
      <c r="L28" s="28"/>
    </row>
    <row r="29" spans="1:26" ht="14.25">
      <c r="A29" s="42"/>
      <c r="B29" s="43"/>
      <c r="C29" s="43" t="s">
        <v>427</v>
      </c>
      <c r="D29" s="24"/>
      <c r="E29" s="21"/>
      <c r="F29" s="25">
        <f>Source!AN27</f>
        <v>3.19</v>
      </c>
      <c r="G29" s="26" t="str">
        <f>Source!DF27</f>
        <v/>
      </c>
      <c r="H29" s="40">
        <f>ROUND(Source!AE27*Source!I27, 2)</f>
        <v>89.32</v>
      </c>
      <c r="I29" s="26"/>
      <c r="J29" s="26">
        <f>IF(Source!BS27&lt;&gt; 0, Source!BS27, 1)</f>
        <v>25.89</v>
      </c>
      <c r="K29" s="40">
        <f>Source!R27</f>
        <v>2312.4899999999998</v>
      </c>
      <c r="L29" s="28"/>
      <c r="R29">
        <f>H29</f>
        <v>89.32</v>
      </c>
    </row>
    <row r="30" spans="1:26" ht="14.25">
      <c r="A30" s="42"/>
      <c r="B30" s="43"/>
      <c r="C30" s="43" t="s">
        <v>428</v>
      </c>
      <c r="D30" s="24"/>
      <c r="E30" s="21"/>
      <c r="F30" s="25">
        <f>Source!AL27</f>
        <v>1118.7</v>
      </c>
      <c r="G30" s="26" t="str">
        <f>Source!DD27</f>
        <v/>
      </c>
      <c r="H30" s="27">
        <f>ROUND(Source!AC27*Source!I27, 2)</f>
        <v>31323.599999999999</v>
      </c>
      <c r="I30" s="26"/>
      <c r="J30" s="26">
        <f>IF(Source!BC27&lt;&gt; 0, Source!BC27, 1)</f>
        <v>6.44</v>
      </c>
      <c r="K30" s="27">
        <f>Source!P27</f>
        <v>201723.98</v>
      </c>
      <c r="L30" s="28"/>
    </row>
    <row r="31" spans="1:26" ht="14.25">
      <c r="A31" s="42"/>
      <c r="B31" s="43"/>
      <c r="C31" s="43" t="s">
        <v>422</v>
      </c>
      <c r="D31" s="24" t="s">
        <v>423</v>
      </c>
      <c r="E31" s="21">
        <f>Source!BZ27</f>
        <v>83</v>
      </c>
      <c r="F31" s="46"/>
      <c r="G31" s="26"/>
      <c r="H31" s="27">
        <f>SUM(S26:S35)</f>
        <v>4613.84</v>
      </c>
      <c r="I31" s="29" t="str">
        <f>CONCATENATE(Source!FX27, Source!FV27, "=")</f>
        <v>83*0,85=</v>
      </c>
      <c r="J31" s="23">
        <f>Source!AT27</f>
        <v>71</v>
      </c>
      <c r="K31" s="27">
        <f>SUM(T26:T35)</f>
        <v>102182.04</v>
      </c>
      <c r="L31" s="28"/>
    </row>
    <row r="32" spans="1:26" ht="14.25">
      <c r="A32" s="42"/>
      <c r="B32" s="43"/>
      <c r="C32" s="43" t="s">
        <v>424</v>
      </c>
      <c r="D32" s="24" t="s">
        <v>423</v>
      </c>
      <c r="E32" s="21">
        <f>Source!CA27</f>
        <v>65</v>
      </c>
      <c r="F32" s="46"/>
      <c r="G32" s="26"/>
      <c r="H32" s="27">
        <f>SUM(U26:U35)</f>
        <v>3613.25</v>
      </c>
      <c r="I32" s="29" t="str">
        <f>CONCATENATE(Source!FY27, Source!FW27, "=")</f>
        <v>65*0,8=</v>
      </c>
      <c r="J32" s="23">
        <f>Source!AU27</f>
        <v>52</v>
      </c>
      <c r="K32" s="27">
        <f>SUM(V26:V35)</f>
        <v>74837.55</v>
      </c>
      <c r="L32" s="28"/>
    </row>
    <row r="33" spans="1:26" ht="14.25">
      <c r="A33" s="42"/>
      <c r="B33" s="43"/>
      <c r="C33" s="43" t="s">
        <v>425</v>
      </c>
      <c r="D33" s="24" t="s">
        <v>426</v>
      </c>
      <c r="E33" s="21">
        <f>Source!AQ27</f>
        <v>22.35</v>
      </c>
      <c r="F33" s="25"/>
      <c r="G33" s="26" t="str">
        <f>Source!DI27</f>
        <v/>
      </c>
      <c r="H33" s="27"/>
      <c r="I33" s="26"/>
      <c r="J33" s="26"/>
      <c r="K33" s="27"/>
      <c r="L33" s="30">
        <f>Source!U27</f>
        <v>625.80000000000007</v>
      </c>
    </row>
    <row r="34" spans="1:26" ht="14.25">
      <c r="A34" s="42" t="str">
        <f>Source!E28</f>
        <v>3,1</v>
      </c>
      <c r="B34" s="43" t="str">
        <f>Source!F28</f>
        <v>01.7.07.07</v>
      </c>
      <c r="C34" s="43" t="str">
        <f>Source!G28</f>
        <v>Строительный мусор</v>
      </c>
      <c r="D34" s="24" t="str">
        <f>Source!DW28</f>
        <v>т</v>
      </c>
      <c r="E34" s="21">
        <f>Source!I28</f>
        <v>9.52</v>
      </c>
      <c r="F34" s="25">
        <f>Source!AL28+Source!AM28+Source!AO28</f>
        <v>0</v>
      </c>
      <c r="G34" s="41" t="s">
        <v>6</v>
      </c>
      <c r="H34" s="27">
        <f>ROUND(Source!AC28*Source!I28, 2)+ROUND(Source!AD28*Source!I28, 2)+ROUND(Source!AF28*Source!I28, 2)</f>
        <v>0</v>
      </c>
      <c r="I34" s="26"/>
      <c r="J34" s="26">
        <f>IF(Source!BC28&lt;&gt; 0, Source!BC28, 1)</f>
        <v>1</v>
      </c>
      <c r="K34" s="27">
        <f>Source!O28</f>
        <v>0</v>
      </c>
      <c r="L34" s="28"/>
      <c r="S34">
        <f>ROUND((Source!FX28/100)*((ROUND(Source!AF28*Source!I28, 2)+ROUND(Source!AE28*Source!I28, 2))), 2)</f>
        <v>0</v>
      </c>
      <c r="T34">
        <f>Source!X28</f>
        <v>0</v>
      </c>
      <c r="U34">
        <f>ROUND((Source!FY28/100)*((ROUND(Source!AF28*Source!I28, 2)+ROUND(Source!AE28*Source!I28, 2))), 2)</f>
        <v>0</v>
      </c>
      <c r="V34">
        <f>Source!Y28</f>
        <v>0</v>
      </c>
      <c r="W34">
        <f>IF(Source!BI28&lt;=1,H34, 0)</f>
        <v>0</v>
      </c>
      <c r="X34">
        <f>IF(Source!BI28=2,H34, 0)</f>
        <v>0</v>
      </c>
      <c r="Y34">
        <f>IF(Source!BI28=3,H34, 0)</f>
        <v>0</v>
      </c>
      <c r="Z34">
        <f>IF(Source!BI28=4,H34, 0)</f>
        <v>0</v>
      </c>
    </row>
    <row r="35" spans="1:26" ht="28.5">
      <c r="A35" s="44" t="str">
        <f>Source!E29</f>
        <v>3,2</v>
      </c>
      <c r="B35" s="45" t="str">
        <f>Source!F29</f>
        <v>12.1.02.03-0192</v>
      </c>
      <c r="C35" s="45" t="str">
        <f>Source!G29</f>
        <v>Техноэласт ЭКП</v>
      </c>
      <c r="D35" s="31" t="str">
        <f>Source!DW29</f>
        <v>м2</v>
      </c>
      <c r="E35" s="32">
        <f>Source!I29</f>
        <v>3220</v>
      </c>
      <c r="F35" s="33">
        <f>Source!AL29+Source!AM29+Source!AO29</f>
        <v>29.17</v>
      </c>
      <c r="G35" s="34" t="s">
        <v>6</v>
      </c>
      <c r="H35" s="35">
        <f>ROUND(Source!AC29*Source!I29, 2)+ROUND(Source!AD29*Source!I29, 2)+ROUND(Source!AF29*Source!I29, 2)</f>
        <v>93927.4</v>
      </c>
      <c r="I35" s="36"/>
      <c r="J35" s="36">
        <f>IF(Source!BC29&lt;&gt; 0, Source!BC29, 1)</f>
        <v>5.07</v>
      </c>
      <c r="K35" s="35">
        <f>Source!O29</f>
        <v>476211.92</v>
      </c>
      <c r="L35" s="37"/>
      <c r="S35">
        <f>ROUND((Source!FX29/100)*((ROUND(Source!AF29*Source!I29, 2)+ROUND(Source!AE29*Source!I29, 2))), 2)</f>
        <v>0</v>
      </c>
      <c r="T35">
        <f>Source!X29</f>
        <v>0</v>
      </c>
      <c r="U35">
        <f>ROUND((Source!FY29/100)*((ROUND(Source!AF29*Source!I29, 2)+ROUND(Source!AE29*Source!I29, 2))), 2)</f>
        <v>0</v>
      </c>
      <c r="V35">
        <f>Source!Y29</f>
        <v>0</v>
      </c>
      <c r="W35">
        <f>IF(Source!BI29&lt;=1,H35, 0)</f>
        <v>93927.4</v>
      </c>
      <c r="X35">
        <f>IF(Source!BI29=2,H35, 0)</f>
        <v>0</v>
      </c>
      <c r="Y35">
        <f>IF(Source!BI29=3,H35, 0)</f>
        <v>0</v>
      </c>
      <c r="Z35">
        <f>IF(Source!BI29=4,H35, 0)</f>
        <v>0</v>
      </c>
    </row>
    <row r="36" spans="1:26" ht="15">
      <c r="G36" s="79">
        <f>H27+H28+H30+H31+H32+SUM(H34:H35)</f>
        <v>139892.89000000001</v>
      </c>
      <c r="H36" s="79"/>
      <c r="J36" s="79">
        <f>K27+K28+K30+K31+K32+SUM(K34:K35)</f>
        <v>1002365.3799999999</v>
      </c>
      <c r="K36" s="79"/>
      <c r="L36" s="38">
        <f>Source!U27</f>
        <v>625.80000000000007</v>
      </c>
      <c r="O36" s="18">
        <f>G36</f>
        <v>139892.89000000001</v>
      </c>
      <c r="P36" s="18">
        <f>J36</f>
        <v>1002365.3799999999</v>
      </c>
      <c r="Q36" s="18">
        <f>L36</f>
        <v>625.80000000000007</v>
      </c>
      <c r="W36">
        <f>IF(Source!BI27&lt;=1,H27+H28+H30+H31+H32, 0)</f>
        <v>45965.490000000005</v>
      </c>
      <c r="X36">
        <f>IF(Source!BI27=2,H27+H28+H30+H31+H32, 0)</f>
        <v>0</v>
      </c>
      <c r="Y36">
        <f>IF(Source!BI27=3,H27+H28+H30+H31+H32, 0)</f>
        <v>0</v>
      </c>
      <c r="Z36">
        <f>IF(Source!BI27=4,H27+H28+H30+H31+H32, 0)</f>
        <v>0</v>
      </c>
    </row>
    <row r="37" spans="1:26" ht="54">
      <c r="A37" s="42" t="str">
        <f>Source!E30</f>
        <v>4</v>
      </c>
      <c r="B37" s="43" t="s">
        <v>429</v>
      </c>
      <c r="C37" s="43" t="str">
        <f>Source!G30</f>
        <v>Герметизация примыкания водоизоляционного слоя к парапету (шириной до 10 см) (прим.)</v>
      </c>
      <c r="D37" s="24" t="str">
        <f>Source!DW30</f>
        <v>100 м</v>
      </c>
      <c r="E37" s="21">
        <f>Source!I30</f>
        <v>3.6</v>
      </c>
      <c r="F37" s="25">
        <f>Source!AL30+Source!AM30+Source!AO30</f>
        <v>2521.7599999999998</v>
      </c>
      <c r="G37" s="26"/>
      <c r="H37" s="27"/>
      <c r="I37" s="26" t="str">
        <f>Source!BO30</f>
        <v>07-05-039-06</v>
      </c>
      <c r="J37" s="26"/>
      <c r="K37" s="27"/>
      <c r="L37" s="28"/>
      <c r="S37">
        <f>ROUND((Source!FX30/100)*((ROUND(Source!AF30*Source!I30, 2)+ROUND(Source!AE30*Source!I30, 2))), 2)</f>
        <v>1359.26</v>
      </c>
      <c r="T37">
        <f>Source!X30</f>
        <v>29969.25</v>
      </c>
      <c r="U37">
        <f>ROUND((Source!FY30/100)*((ROUND(Source!AF30*Source!I30, 2)+ROUND(Source!AE30*Source!I30, 2))), 2)</f>
        <v>745.4</v>
      </c>
      <c r="V37">
        <f>Source!Y30</f>
        <v>15438.71</v>
      </c>
    </row>
    <row r="38" spans="1:26" ht="14.25">
      <c r="A38" s="42"/>
      <c r="B38" s="43"/>
      <c r="C38" s="43" t="s">
        <v>421</v>
      </c>
      <c r="D38" s="24"/>
      <c r="E38" s="21"/>
      <c r="F38" s="25">
        <f>Source!AO30</f>
        <v>170.43</v>
      </c>
      <c r="G38" s="26" t="str">
        <f>Source!DG30</f>
        <v>)*1,15</v>
      </c>
      <c r="H38" s="27">
        <f>ROUND(Source!AF30*Source!I30, 2)</f>
        <v>705.58</v>
      </c>
      <c r="I38" s="26"/>
      <c r="J38" s="26">
        <f>IF(Source!BA30&lt;&gt; 0, Source!BA30, 1)</f>
        <v>25.89</v>
      </c>
      <c r="K38" s="27">
        <f>Source!S30</f>
        <v>18267.47</v>
      </c>
      <c r="L38" s="28"/>
      <c r="R38">
        <f>H38</f>
        <v>705.58</v>
      </c>
    </row>
    <row r="39" spans="1:26" ht="14.25">
      <c r="A39" s="42"/>
      <c r="B39" s="43"/>
      <c r="C39" s="43" t="s">
        <v>189</v>
      </c>
      <c r="D39" s="24"/>
      <c r="E39" s="21"/>
      <c r="F39" s="25">
        <f>Source!AM30</f>
        <v>792.61</v>
      </c>
      <c r="G39" s="26" t="str">
        <f>Source!DE30</f>
        <v>)*1,25</v>
      </c>
      <c r="H39" s="27">
        <f>ROUND(Source!AD30*Source!I30, 2)</f>
        <v>3566.75</v>
      </c>
      <c r="I39" s="26"/>
      <c r="J39" s="26">
        <f>IF(Source!BB30&lt;&gt; 0, Source!BB30, 1)</f>
        <v>5.16</v>
      </c>
      <c r="K39" s="27">
        <f>Source!Q30</f>
        <v>18404.400000000001</v>
      </c>
      <c r="L39" s="28"/>
    </row>
    <row r="40" spans="1:26" ht="14.25">
      <c r="A40" s="42"/>
      <c r="B40" s="43"/>
      <c r="C40" s="43" t="s">
        <v>427</v>
      </c>
      <c r="D40" s="24"/>
      <c r="E40" s="21"/>
      <c r="F40" s="25">
        <f>Source!AN30</f>
        <v>38.08</v>
      </c>
      <c r="G40" s="26" t="str">
        <f>Source!DF30</f>
        <v>)*1,25</v>
      </c>
      <c r="H40" s="40">
        <f>ROUND(Source!AE30*Source!I30, 2)</f>
        <v>171.36</v>
      </c>
      <c r="I40" s="26"/>
      <c r="J40" s="26">
        <f>IF(Source!BS30&lt;&gt; 0, Source!BS30, 1)</f>
        <v>25.89</v>
      </c>
      <c r="K40" s="40">
        <f>Source!R30</f>
        <v>4436.51</v>
      </c>
      <c r="L40" s="28"/>
      <c r="R40">
        <f>H40</f>
        <v>171.36</v>
      </c>
    </row>
    <row r="41" spans="1:26" ht="14.25">
      <c r="A41" s="42"/>
      <c r="B41" s="43"/>
      <c r="C41" s="43" t="s">
        <v>428</v>
      </c>
      <c r="D41" s="24"/>
      <c r="E41" s="21"/>
      <c r="F41" s="25">
        <f>Source!AL30</f>
        <v>1558.72</v>
      </c>
      <c r="G41" s="26" t="str">
        <f>Source!DD30</f>
        <v/>
      </c>
      <c r="H41" s="27">
        <f>ROUND(Source!AC30*Source!I30, 2)</f>
        <v>5611.39</v>
      </c>
      <c r="I41" s="26"/>
      <c r="J41" s="26">
        <f>IF(Source!BC30&lt;&gt; 0, Source!BC30, 1)</f>
        <v>3.23</v>
      </c>
      <c r="K41" s="27">
        <f>Source!P30</f>
        <v>18124.8</v>
      </c>
      <c r="L41" s="28"/>
    </row>
    <row r="42" spans="1:26" ht="14.25">
      <c r="A42" s="42"/>
      <c r="B42" s="43"/>
      <c r="C42" s="43" t="s">
        <v>422</v>
      </c>
      <c r="D42" s="24" t="s">
        <v>423</v>
      </c>
      <c r="E42" s="21">
        <f>Source!BZ30</f>
        <v>155</v>
      </c>
      <c r="F42" s="46"/>
      <c r="G42" s="26"/>
      <c r="H42" s="27">
        <f>SUM(S37:S44)</f>
        <v>1359.26</v>
      </c>
      <c r="I42" s="29" t="str">
        <f>CONCATENATE(Source!FX30, Source!FV30, "=")</f>
        <v>155*0,85=</v>
      </c>
      <c r="J42" s="23">
        <f>Source!AT30</f>
        <v>132</v>
      </c>
      <c r="K42" s="27">
        <f>SUM(T37:T44)</f>
        <v>29969.25</v>
      </c>
      <c r="L42" s="28"/>
    </row>
    <row r="43" spans="1:26" ht="14.25">
      <c r="A43" s="42"/>
      <c r="B43" s="43"/>
      <c r="C43" s="43" t="s">
        <v>424</v>
      </c>
      <c r="D43" s="24" t="s">
        <v>423</v>
      </c>
      <c r="E43" s="21">
        <f>Source!CA30</f>
        <v>100</v>
      </c>
      <c r="F43" s="81" t="str">
        <f>CONCATENATE(" )", Source!DM30, Source!FU30, "=", Source!FY30)</f>
        <v xml:space="preserve"> )*0,85=85</v>
      </c>
      <c r="G43" s="82"/>
      <c r="H43" s="27">
        <f>SUM(U37:U44)</f>
        <v>745.4</v>
      </c>
      <c r="I43" s="29" t="str">
        <f>CONCATENATE(Source!FY30, Source!FW30, "=")</f>
        <v>85*0,8=</v>
      </c>
      <c r="J43" s="23">
        <f>Source!AU30</f>
        <v>68</v>
      </c>
      <c r="K43" s="27">
        <f>SUM(V37:V44)</f>
        <v>15438.71</v>
      </c>
      <c r="L43" s="28"/>
    </row>
    <row r="44" spans="1:26" ht="14.25">
      <c r="A44" s="44"/>
      <c r="B44" s="45"/>
      <c r="C44" s="45" t="s">
        <v>425</v>
      </c>
      <c r="D44" s="31" t="s">
        <v>426</v>
      </c>
      <c r="E44" s="32">
        <f>Source!AQ30</f>
        <v>18.79</v>
      </c>
      <c r="F44" s="33"/>
      <c r="G44" s="36" t="str">
        <f>Source!DI30</f>
        <v>)*1,15</v>
      </c>
      <c r="H44" s="35"/>
      <c r="I44" s="36"/>
      <c r="J44" s="36"/>
      <c r="K44" s="35"/>
      <c r="L44" s="39">
        <f>Source!U30</f>
        <v>77.790599999999984</v>
      </c>
    </row>
    <row r="45" spans="1:26" ht="15">
      <c r="G45" s="79">
        <f>H38+H39+H41+H42+H43</f>
        <v>11988.380000000001</v>
      </c>
      <c r="H45" s="79"/>
      <c r="J45" s="79">
        <f>K38+K39+K41+K42+K43</f>
        <v>100204.63</v>
      </c>
      <c r="K45" s="79"/>
      <c r="L45" s="38">
        <f>Source!U30</f>
        <v>77.790599999999984</v>
      </c>
      <c r="O45" s="18">
        <f>G45</f>
        <v>11988.380000000001</v>
      </c>
      <c r="P45" s="18">
        <f>J45</f>
        <v>100204.63</v>
      </c>
      <c r="Q45" s="18">
        <f>L45</f>
        <v>77.790599999999984</v>
      </c>
      <c r="W45">
        <f>IF(Source!BI30&lt;=1,H38+H39+H41+H42+H43, 0)</f>
        <v>11988.380000000001</v>
      </c>
      <c r="X45">
        <f>IF(Source!BI30=2,H38+H39+H41+H42+H43, 0)</f>
        <v>0</v>
      </c>
      <c r="Y45">
        <f>IF(Source!BI30=3,H38+H39+H41+H42+H43, 0)</f>
        <v>0</v>
      </c>
      <c r="Z45">
        <f>IF(Source!BI30=4,H38+H39+H41+H42+H43, 0)</f>
        <v>0</v>
      </c>
    </row>
    <row r="46" spans="1:26" ht="28.5">
      <c r="A46" s="42" t="str">
        <f>Source!E31</f>
        <v>5</v>
      </c>
      <c r="B46" s="43" t="str">
        <f>Source!F31</f>
        <v>58-16-3</v>
      </c>
      <c r="C46" s="43" t="str">
        <f>Source!G31</f>
        <v>Ремонт цементной стяжки площадью заделки до 1,0 м2</v>
      </c>
      <c r="D46" s="24" t="str">
        <f>Source!DW31</f>
        <v>100 мест</v>
      </c>
      <c r="E46" s="21">
        <f>Source!I31</f>
        <v>8.58</v>
      </c>
      <c r="F46" s="25">
        <f>Source!AL31+Source!AM31+Source!AO31</f>
        <v>1201.44</v>
      </c>
      <c r="G46" s="26"/>
      <c r="H46" s="27"/>
      <c r="I46" s="26" t="str">
        <f>Source!BO31</f>
        <v>58-16-3</v>
      </c>
      <c r="J46" s="26"/>
      <c r="K46" s="27"/>
      <c r="L46" s="28"/>
      <c r="S46">
        <f>ROUND((Source!FX31/100)*((ROUND(Source!AF31*Source!I31, 2)+ROUND(Source!AE31*Source!I31, 2))), 2)</f>
        <v>8196.09</v>
      </c>
      <c r="T46">
        <f>Source!X31</f>
        <v>181517.73</v>
      </c>
      <c r="U46">
        <f>ROUND((Source!FY31/100)*((ROUND(Source!AF31*Source!I31, 2)+ROUND(Source!AE31*Source!I31, 2))), 2)</f>
        <v>6418.63</v>
      </c>
      <c r="V46">
        <f>Source!Y31</f>
        <v>132942.56</v>
      </c>
    </row>
    <row r="47" spans="1:26" ht="14.25">
      <c r="A47" s="42"/>
      <c r="B47" s="43"/>
      <c r="C47" s="43" t="s">
        <v>421</v>
      </c>
      <c r="D47" s="24"/>
      <c r="E47" s="21"/>
      <c r="F47" s="25">
        <f>Source!AO31</f>
        <v>1150.9100000000001</v>
      </c>
      <c r="G47" s="26" t="str">
        <f>Source!DG31</f>
        <v/>
      </c>
      <c r="H47" s="27">
        <f>ROUND(Source!AF31*Source!I31, 2)</f>
        <v>9874.81</v>
      </c>
      <c r="I47" s="26"/>
      <c r="J47" s="26">
        <f>IF(Source!BA31&lt;&gt; 0, Source!BA31, 1)</f>
        <v>25.89</v>
      </c>
      <c r="K47" s="27">
        <f>Source!S31</f>
        <v>255658.77</v>
      </c>
      <c r="L47" s="28"/>
      <c r="R47">
        <f>H47</f>
        <v>9874.81</v>
      </c>
    </row>
    <row r="48" spans="1:26" ht="14.25">
      <c r="A48" s="42"/>
      <c r="B48" s="43"/>
      <c r="C48" s="43" t="s">
        <v>189</v>
      </c>
      <c r="D48" s="24"/>
      <c r="E48" s="21"/>
      <c r="F48" s="25">
        <f>Source!AM31</f>
        <v>50.53</v>
      </c>
      <c r="G48" s="26" t="str">
        <f>Source!DE31</f>
        <v/>
      </c>
      <c r="H48" s="27">
        <f>ROUND(Source!AD31*Source!I31, 2)</f>
        <v>433.55</v>
      </c>
      <c r="I48" s="26"/>
      <c r="J48" s="26">
        <f>IF(Source!BB31&lt;&gt; 0, Source!BB31, 1)</f>
        <v>2.65</v>
      </c>
      <c r="K48" s="27">
        <f>Source!Q31</f>
        <v>1148.9000000000001</v>
      </c>
      <c r="L48" s="28"/>
    </row>
    <row r="49" spans="1:26" ht="14.25">
      <c r="A49" s="42"/>
      <c r="B49" s="43"/>
      <c r="C49" s="43" t="s">
        <v>422</v>
      </c>
      <c r="D49" s="24" t="s">
        <v>423</v>
      </c>
      <c r="E49" s="21">
        <f>Source!BZ31</f>
        <v>83</v>
      </c>
      <c r="F49" s="46"/>
      <c r="G49" s="26"/>
      <c r="H49" s="27">
        <f>SUM(S46:S54)</f>
        <v>8196.09</v>
      </c>
      <c r="I49" s="29" t="str">
        <f>CONCATENATE(Source!FX31, Source!FV31, "=")</f>
        <v>83*0,85=</v>
      </c>
      <c r="J49" s="23">
        <f>Source!AT31</f>
        <v>71</v>
      </c>
      <c r="K49" s="27">
        <f>SUM(T46:T54)</f>
        <v>181517.73</v>
      </c>
      <c r="L49" s="28"/>
    </row>
    <row r="50" spans="1:26" ht="14.25">
      <c r="A50" s="42"/>
      <c r="B50" s="43"/>
      <c r="C50" s="43" t="s">
        <v>424</v>
      </c>
      <c r="D50" s="24" t="s">
        <v>423</v>
      </c>
      <c r="E50" s="21">
        <f>Source!CA31</f>
        <v>65</v>
      </c>
      <c r="F50" s="46"/>
      <c r="G50" s="26"/>
      <c r="H50" s="27">
        <f>SUM(U46:U54)</f>
        <v>6418.63</v>
      </c>
      <c r="I50" s="29" t="str">
        <f>CONCATENATE(Source!FY31, Source!FW31, "=")</f>
        <v>65*0,8=</v>
      </c>
      <c r="J50" s="23">
        <f>Source!AU31</f>
        <v>52</v>
      </c>
      <c r="K50" s="27">
        <f>SUM(V46:V54)</f>
        <v>132942.56</v>
      </c>
      <c r="L50" s="28"/>
    </row>
    <row r="51" spans="1:26" ht="14.25">
      <c r="A51" s="42"/>
      <c r="B51" s="43"/>
      <c r="C51" s="43" t="s">
        <v>425</v>
      </c>
      <c r="D51" s="24" t="s">
        <v>426</v>
      </c>
      <c r="E51" s="21">
        <f>Source!AQ31</f>
        <v>129.9</v>
      </c>
      <c r="F51" s="25"/>
      <c r="G51" s="26" t="str">
        <f>Source!DI31</f>
        <v/>
      </c>
      <c r="H51" s="27"/>
      <c r="I51" s="26"/>
      <c r="J51" s="26"/>
      <c r="K51" s="27"/>
      <c r="L51" s="30">
        <f>Source!U31</f>
        <v>1114.5420000000001</v>
      </c>
    </row>
    <row r="52" spans="1:26" ht="14.25">
      <c r="A52" s="42" t="str">
        <f>Source!E32</f>
        <v>5,1</v>
      </c>
      <c r="B52" s="43" t="str">
        <f>Source!F32</f>
        <v>01.7.07.07</v>
      </c>
      <c r="C52" s="43" t="str">
        <f>Source!G32</f>
        <v>Строительный мусор</v>
      </c>
      <c r="D52" s="24" t="str">
        <f>Source!DW32</f>
        <v>т</v>
      </c>
      <c r="E52" s="21">
        <f>Source!I32</f>
        <v>12.698399999999999</v>
      </c>
      <c r="F52" s="25">
        <f>Source!AL32+Source!AM32+Source!AO32</f>
        <v>0</v>
      </c>
      <c r="G52" s="41" t="s">
        <v>6</v>
      </c>
      <c r="H52" s="27">
        <f>ROUND(Source!AC32*Source!I32, 2)+ROUND(Source!AD32*Source!I32, 2)+ROUND(Source!AF32*Source!I32, 2)</f>
        <v>0</v>
      </c>
      <c r="I52" s="26"/>
      <c r="J52" s="26">
        <f>IF(Source!BC32&lt;&gt; 0, Source!BC32, 1)</f>
        <v>1</v>
      </c>
      <c r="K52" s="27">
        <f>Source!O32</f>
        <v>0</v>
      </c>
      <c r="L52" s="28"/>
      <c r="S52">
        <f>ROUND((Source!FX32/100)*((ROUND(Source!AF32*Source!I32, 2)+ROUND(Source!AE32*Source!I32, 2))), 2)</f>
        <v>0</v>
      </c>
      <c r="T52">
        <f>Source!X32</f>
        <v>0</v>
      </c>
      <c r="U52">
        <f>ROUND((Source!FY32/100)*((ROUND(Source!AF32*Source!I32, 2)+ROUND(Source!AE32*Source!I32, 2))), 2)</f>
        <v>0</v>
      </c>
      <c r="V52">
        <f>Source!Y32</f>
        <v>0</v>
      </c>
      <c r="W52">
        <f>IF(Source!BI32&lt;=1,H52, 0)</f>
        <v>0</v>
      </c>
      <c r="X52">
        <f>IF(Source!BI32=2,H52, 0)</f>
        <v>0</v>
      </c>
      <c r="Y52">
        <f>IF(Source!BI32=3,H52, 0)</f>
        <v>0</v>
      </c>
      <c r="Z52">
        <f>IF(Source!BI32=4,H52, 0)</f>
        <v>0</v>
      </c>
    </row>
    <row r="53" spans="1:26" ht="28.5">
      <c r="A53" s="42" t="str">
        <f>Source!E33</f>
        <v>5,2</v>
      </c>
      <c r="B53" s="43" t="str">
        <f>Source!F33</f>
        <v>03.2.01.01-0001</v>
      </c>
      <c r="C53" s="43" t="str">
        <f>Source!G33</f>
        <v>Портландцемент общестроительного назначения бездобавочный, марки 400</v>
      </c>
      <c r="D53" s="24" t="str">
        <f>Source!DW33</f>
        <v>т</v>
      </c>
      <c r="E53" s="21">
        <f>Source!I33</f>
        <v>0.18018000000000001</v>
      </c>
      <c r="F53" s="25">
        <f>Source!AL33+Source!AM33+Source!AO33</f>
        <v>412</v>
      </c>
      <c r="G53" s="41" t="s">
        <v>6</v>
      </c>
      <c r="H53" s="27">
        <f>ROUND(Source!AC33*Source!I33, 2)+ROUND(Source!AD33*Source!I33, 2)+ROUND(Source!AF33*Source!I33, 2)</f>
        <v>74.23</v>
      </c>
      <c r="I53" s="26"/>
      <c r="J53" s="26">
        <f>IF(Source!BC33&lt;&gt; 0, Source!BC33, 1)</f>
        <v>10.72</v>
      </c>
      <c r="K53" s="27">
        <f>Source!O33</f>
        <v>795.79</v>
      </c>
      <c r="L53" s="28"/>
      <c r="S53">
        <f>ROUND((Source!FX33/100)*((ROUND(Source!AF33*Source!I33, 2)+ROUND(Source!AE33*Source!I33, 2))), 2)</f>
        <v>0</v>
      </c>
      <c r="T53">
        <f>Source!X33</f>
        <v>0</v>
      </c>
      <c r="U53">
        <f>ROUND((Source!FY33/100)*((ROUND(Source!AF33*Source!I33, 2)+ROUND(Source!AE33*Source!I33, 2))), 2)</f>
        <v>0</v>
      </c>
      <c r="V53">
        <f>Source!Y33</f>
        <v>0</v>
      </c>
      <c r="W53">
        <f>IF(Source!BI33&lt;=1,H53, 0)</f>
        <v>74.23</v>
      </c>
      <c r="X53">
        <f>IF(Source!BI33=2,H53, 0)</f>
        <v>0</v>
      </c>
      <c r="Y53">
        <f>IF(Source!BI33=3,H53, 0)</f>
        <v>0</v>
      </c>
      <c r="Z53">
        <f>IF(Source!BI33=4,H53, 0)</f>
        <v>0</v>
      </c>
    </row>
    <row r="54" spans="1:26" ht="28.5">
      <c r="A54" s="44" t="str">
        <f>Source!E34</f>
        <v>5,3</v>
      </c>
      <c r="B54" s="45" t="str">
        <f>Source!F34</f>
        <v>04.3.01.09-0014</v>
      </c>
      <c r="C54" s="45" t="str">
        <f>Source!G34</f>
        <v>Раствор готовый кладочный цементный марки 100</v>
      </c>
      <c r="D54" s="31" t="str">
        <f>Source!DW34</f>
        <v>м3</v>
      </c>
      <c r="E54" s="32">
        <f>Source!I34</f>
        <v>18.3612</v>
      </c>
      <c r="F54" s="33">
        <f>Source!AL34+Source!AM34+Source!AO34</f>
        <v>519.79999999999995</v>
      </c>
      <c r="G54" s="34" t="s">
        <v>6</v>
      </c>
      <c r="H54" s="35">
        <f>ROUND(Source!AC34*Source!I34, 2)+ROUND(Source!AD34*Source!I34, 2)+ROUND(Source!AF34*Source!I34, 2)</f>
        <v>9544.15</v>
      </c>
      <c r="I54" s="36"/>
      <c r="J54" s="36">
        <f>IF(Source!BC34&lt;&gt; 0, Source!BC34, 1)</f>
        <v>5.69</v>
      </c>
      <c r="K54" s="35">
        <f>Source!O34</f>
        <v>54306.22</v>
      </c>
      <c r="L54" s="37"/>
      <c r="S54">
        <f>ROUND((Source!FX34/100)*((ROUND(Source!AF34*Source!I34, 2)+ROUND(Source!AE34*Source!I34, 2))), 2)</f>
        <v>0</v>
      </c>
      <c r="T54">
        <f>Source!X34</f>
        <v>0</v>
      </c>
      <c r="U54">
        <f>ROUND((Source!FY34/100)*((ROUND(Source!AF34*Source!I34, 2)+ROUND(Source!AE34*Source!I34, 2))), 2)</f>
        <v>0</v>
      </c>
      <c r="V54">
        <f>Source!Y34</f>
        <v>0</v>
      </c>
      <c r="W54">
        <f>IF(Source!BI34&lt;=1,H54, 0)</f>
        <v>9544.15</v>
      </c>
      <c r="X54">
        <f>IF(Source!BI34=2,H54, 0)</f>
        <v>0</v>
      </c>
      <c r="Y54">
        <f>IF(Source!BI34=3,H54, 0)</f>
        <v>0</v>
      </c>
      <c r="Z54">
        <f>IF(Source!BI34=4,H54, 0)</f>
        <v>0</v>
      </c>
    </row>
    <row r="55" spans="1:26" ht="15">
      <c r="G55" s="79">
        <f>H47+H48+H49+H50+SUM(H52:H54)</f>
        <v>34541.46</v>
      </c>
      <c r="H55" s="79"/>
      <c r="J55" s="79">
        <f>K47+K48+K49+K50+SUM(K52:K54)</f>
        <v>626369.97</v>
      </c>
      <c r="K55" s="79"/>
      <c r="L55" s="38">
        <f>Source!U31</f>
        <v>1114.5420000000001</v>
      </c>
      <c r="O55" s="18">
        <f>G55</f>
        <v>34541.46</v>
      </c>
      <c r="P55" s="18">
        <f>J55</f>
        <v>626369.97</v>
      </c>
      <c r="Q55" s="18">
        <f>L55</f>
        <v>1114.5420000000001</v>
      </c>
      <c r="W55">
        <f>IF(Source!BI31&lt;=1,H47+H48+H49+H50, 0)</f>
        <v>24923.079999999998</v>
      </c>
      <c r="X55">
        <f>IF(Source!BI31=2,H47+H48+H49+H50, 0)</f>
        <v>0</v>
      </c>
      <c r="Y55">
        <f>IF(Source!BI31=3,H47+H48+H49+H50, 0)</f>
        <v>0</v>
      </c>
      <c r="Z55">
        <f>IF(Source!BI31=4,H47+H48+H49+H50, 0)</f>
        <v>0</v>
      </c>
    </row>
    <row r="56" spans="1:26" ht="28.5">
      <c r="A56" s="42" t="str">
        <f>Source!E35</f>
        <v>6</v>
      </c>
      <c r="B56" s="43" t="str">
        <f>Source!F35</f>
        <v>46-03-010-03</v>
      </c>
      <c r="C56" s="43" t="str">
        <f>Source!G35</f>
        <v>Сверление отверстий под аэраторы (прим.)</v>
      </c>
      <c r="D56" s="24" t="str">
        <f>Source!DW35</f>
        <v>100 ШТ</v>
      </c>
      <c r="E56" s="21">
        <f>Source!I35</f>
        <v>0.3</v>
      </c>
      <c r="F56" s="25">
        <f>Source!AL35+Source!AM35+Source!AO35</f>
        <v>2139.2600000000002</v>
      </c>
      <c r="G56" s="26"/>
      <c r="H56" s="27"/>
      <c r="I56" s="26" t="str">
        <f>Source!BO35</f>
        <v>46-03-010-03</v>
      </c>
      <c r="J56" s="26"/>
      <c r="K56" s="27"/>
      <c r="L56" s="28"/>
      <c r="S56">
        <f>ROUND((Source!FX35/100)*((ROUND(Source!AF35*Source!I35, 2)+ROUND(Source!AE35*Source!I35, 2))), 2)</f>
        <v>347.23</v>
      </c>
      <c r="T56">
        <f>Source!X35</f>
        <v>7682.02</v>
      </c>
      <c r="U56">
        <f>ROUND((Source!FY35/100)*((ROUND(Source!AF35*Source!I35, 2)+ROUND(Source!AE35*Source!I35, 2))), 2)</f>
        <v>187.82</v>
      </c>
      <c r="V56">
        <f>Source!Y35</f>
        <v>3922.73</v>
      </c>
    </row>
    <row r="57" spans="1:26" ht="14.25">
      <c r="A57" s="42"/>
      <c r="B57" s="43"/>
      <c r="C57" s="43" t="s">
        <v>421</v>
      </c>
      <c r="D57" s="24"/>
      <c r="E57" s="21"/>
      <c r="F57" s="25">
        <f>Source!AO35</f>
        <v>1052.19</v>
      </c>
      <c r="G57" s="26" t="str">
        <f>Source!DG35</f>
        <v/>
      </c>
      <c r="H57" s="27">
        <f>ROUND(Source!AF35*Source!I35, 2)</f>
        <v>315.66000000000003</v>
      </c>
      <c r="I57" s="26"/>
      <c r="J57" s="26">
        <f>IF(Source!BA35&lt;&gt; 0, Source!BA35, 1)</f>
        <v>25.89</v>
      </c>
      <c r="K57" s="27">
        <f>Source!S35</f>
        <v>8172.36</v>
      </c>
      <c r="L57" s="28"/>
      <c r="R57">
        <f>H57</f>
        <v>315.66000000000003</v>
      </c>
    </row>
    <row r="58" spans="1:26" ht="14.25">
      <c r="A58" s="42"/>
      <c r="B58" s="43"/>
      <c r="C58" s="43" t="s">
        <v>189</v>
      </c>
      <c r="D58" s="24"/>
      <c r="E58" s="21"/>
      <c r="F58" s="25">
        <f>Source!AM35</f>
        <v>1087.07</v>
      </c>
      <c r="G58" s="26" t="str">
        <f>Source!DE35</f>
        <v/>
      </c>
      <c r="H58" s="27">
        <f>ROUND(Source!AD35*Source!I35, 2)</f>
        <v>326.12</v>
      </c>
      <c r="I58" s="26"/>
      <c r="J58" s="26">
        <f>IF(Source!BB35&lt;&gt; 0, Source!BB35, 1)</f>
        <v>2.61</v>
      </c>
      <c r="K58" s="27">
        <f>Source!Q35</f>
        <v>851.18</v>
      </c>
      <c r="L58" s="28"/>
    </row>
    <row r="59" spans="1:26" ht="14.25">
      <c r="A59" s="42"/>
      <c r="B59" s="43"/>
      <c r="C59" s="43" t="s">
        <v>422</v>
      </c>
      <c r="D59" s="24" t="s">
        <v>423</v>
      </c>
      <c r="E59" s="21">
        <f>Source!BZ35</f>
        <v>110</v>
      </c>
      <c r="F59" s="46"/>
      <c r="G59" s="26"/>
      <c r="H59" s="27">
        <f>SUM(S56:S61)</f>
        <v>347.23</v>
      </c>
      <c r="I59" s="29" t="str">
        <f>CONCATENATE(Source!FX35, Source!FV35, "=")</f>
        <v>110*0,85=</v>
      </c>
      <c r="J59" s="23">
        <f>Source!AT35</f>
        <v>94</v>
      </c>
      <c r="K59" s="27">
        <f>SUM(T56:T61)</f>
        <v>7682.02</v>
      </c>
      <c r="L59" s="28"/>
    </row>
    <row r="60" spans="1:26" ht="14.25">
      <c r="A60" s="42"/>
      <c r="B60" s="43"/>
      <c r="C60" s="43" t="s">
        <v>424</v>
      </c>
      <c r="D60" s="24" t="s">
        <v>423</v>
      </c>
      <c r="E60" s="21">
        <f>Source!CA35</f>
        <v>70</v>
      </c>
      <c r="F60" s="81" t="str">
        <f>CONCATENATE(" )", Source!DM35, Source!FU35, "=", Source!FY35)</f>
        <v xml:space="preserve"> )*0,85=59,5</v>
      </c>
      <c r="G60" s="82"/>
      <c r="H60" s="27">
        <f>SUM(U56:U61)</f>
        <v>187.82</v>
      </c>
      <c r="I60" s="29" t="str">
        <f>CONCATENATE(Source!FY35, Source!FW35, "=")</f>
        <v>59,5*0,8=</v>
      </c>
      <c r="J60" s="23">
        <f>Source!AU35</f>
        <v>48</v>
      </c>
      <c r="K60" s="27">
        <f>SUM(V56:V61)</f>
        <v>3922.73</v>
      </c>
      <c r="L60" s="28"/>
    </row>
    <row r="61" spans="1:26" ht="14.25">
      <c r="A61" s="44"/>
      <c r="B61" s="45"/>
      <c r="C61" s="45" t="s">
        <v>425</v>
      </c>
      <c r="D61" s="31" t="s">
        <v>426</v>
      </c>
      <c r="E61" s="32">
        <f>Source!AQ35</f>
        <v>110.64</v>
      </c>
      <c r="F61" s="33"/>
      <c r="G61" s="36" t="str">
        <f>Source!DI35</f>
        <v/>
      </c>
      <c r="H61" s="35"/>
      <c r="I61" s="36"/>
      <c r="J61" s="36"/>
      <c r="K61" s="35"/>
      <c r="L61" s="39">
        <f>Source!U35</f>
        <v>33.192</v>
      </c>
    </row>
    <row r="62" spans="1:26" ht="15">
      <c r="G62" s="79">
        <f>H57+H58+H59+H60</f>
        <v>1176.83</v>
      </c>
      <c r="H62" s="79"/>
      <c r="J62" s="79">
        <f>K57+K58+K59+K60</f>
        <v>20628.289999999997</v>
      </c>
      <c r="K62" s="79"/>
      <c r="L62" s="38">
        <f>Source!U35</f>
        <v>33.192</v>
      </c>
      <c r="O62" s="18">
        <f>G62</f>
        <v>1176.83</v>
      </c>
      <c r="P62" s="18">
        <f>J62</f>
        <v>20628.289999999997</v>
      </c>
      <c r="Q62" s="18">
        <f>L62</f>
        <v>33.192</v>
      </c>
      <c r="W62">
        <f>IF(Source!BI35&lt;=1,H57+H58+H59+H60, 0)</f>
        <v>1176.83</v>
      </c>
      <c r="X62">
        <f>IF(Source!BI35=2,H57+H58+H59+H60, 0)</f>
        <v>0</v>
      </c>
      <c r="Y62">
        <f>IF(Source!BI35=3,H57+H58+H59+H60, 0)</f>
        <v>0</v>
      </c>
      <c r="Z62">
        <f>IF(Source!BI35=4,H57+H58+H59+H60, 0)</f>
        <v>0</v>
      </c>
    </row>
    <row r="63" spans="1:26" ht="54">
      <c r="A63" s="42" t="str">
        <f>Source!E36</f>
        <v>7</v>
      </c>
      <c r="B63" s="43" t="s">
        <v>430</v>
      </c>
      <c r="C63" s="43" t="str">
        <f>Source!G36</f>
        <v>Установка дефлекторов диаметром патрубка 280 мм</v>
      </c>
      <c r="D63" s="24" t="str">
        <f>Source!DW36</f>
        <v>ШТ</v>
      </c>
      <c r="E63" s="21">
        <f>Source!I36</f>
        <v>3</v>
      </c>
      <c r="F63" s="25">
        <f>Source!AL36+Source!AM36+Source!AO36</f>
        <v>31.880000000000003</v>
      </c>
      <c r="G63" s="26"/>
      <c r="H63" s="27"/>
      <c r="I63" s="26" t="str">
        <f>Source!BO36</f>
        <v>20-02-012-01</v>
      </c>
      <c r="J63" s="26"/>
      <c r="K63" s="27"/>
      <c r="L63" s="28"/>
      <c r="S63">
        <f>ROUND((Source!FX36/100)*((ROUND(Source!AF36*Source!I36, 2)+ROUND(Source!AE36*Source!I36, 2))), 2)</f>
        <v>110.58</v>
      </c>
      <c r="T63">
        <f>Source!X36</f>
        <v>2437.92</v>
      </c>
      <c r="U63">
        <f>ROUND((Source!FY36/100)*((ROUND(Source!AF36*Source!I36, 2)+ROUND(Source!AE36*Source!I36, 2))), 2)</f>
        <v>60.95</v>
      </c>
      <c r="V63">
        <f>Source!Y36</f>
        <v>1252.51</v>
      </c>
    </row>
    <row r="64" spans="1:26" ht="14.25">
      <c r="A64" s="42"/>
      <c r="B64" s="43"/>
      <c r="C64" s="43" t="s">
        <v>421</v>
      </c>
      <c r="D64" s="24"/>
      <c r="E64" s="21"/>
      <c r="F64" s="25">
        <f>Source!AO36</f>
        <v>24.91</v>
      </c>
      <c r="G64" s="26" t="str">
        <f>Source!DG36</f>
        <v>)*1,15</v>
      </c>
      <c r="H64" s="27">
        <f>ROUND(Source!AF36*Source!I36, 2)</f>
        <v>85.94</v>
      </c>
      <c r="I64" s="26"/>
      <c r="J64" s="26">
        <f>IF(Source!BA36&lt;&gt; 0, Source!BA36, 1)</f>
        <v>25.89</v>
      </c>
      <c r="K64" s="27">
        <f>Source!S36</f>
        <v>2224.9699999999998</v>
      </c>
      <c r="L64" s="28"/>
      <c r="R64">
        <f>H64</f>
        <v>85.94</v>
      </c>
    </row>
    <row r="65" spans="1:26" ht="14.25">
      <c r="A65" s="42"/>
      <c r="B65" s="43"/>
      <c r="C65" s="43" t="s">
        <v>189</v>
      </c>
      <c r="D65" s="24"/>
      <c r="E65" s="21"/>
      <c r="F65" s="25">
        <f>Source!AM36</f>
        <v>2.72</v>
      </c>
      <c r="G65" s="26" t="str">
        <f>Source!DE36</f>
        <v>)*1,25</v>
      </c>
      <c r="H65" s="27">
        <f>ROUND(Source!AD36*Source!I36, 2)</f>
        <v>10.199999999999999</v>
      </c>
      <c r="I65" s="26"/>
      <c r="J65" s="26">
        <f>IF(Source!BB36&lt;&gt; 0, Source!BB36, 1)</f>
        <v>5.18</v>
      </c>
      <c r="K65" s="27">
        <f>Source!Q36</f>
        <v>52.84</v>
      </c>
      <c r="L65" s="28"/>
    </row>
    <row r="66" spans="1:26" ht="14.25">
      <c r="A66" s="42"/>
      <c r="B66" s="43"/>
      <c r="C66" s="43" t="s">
        <v>427</v>
      </c>
      <c r="D66" s="24"/>
      <c r="E66" s="21"/>
      <c r="F66" s="25">
        <f>Source!AN36</f>
        <v>0.12</v>
      </c>
      <c r="G66" s="26" t="str">
        <f>Source!DF36</f>
        <v>)*1,25</v>
      </c>
      <c r="H66" s="40">
        <f>ROUND(Source!AE36*Source!I36, 2)</f>
        <v>0.45</v>
      </c>
      <c r="I66" s="26"/>
      <c r="J66" s="26">
        <f>IF(Source!BS36&lt;&gt; 0, Source!BS36, 1)</f>
        <v>25.89</v>
      </c>
      <c r="K66" s="40">
        <f>Source!R36</f>
        <v>11.65</v>
      </c>
      <c r="L66" s="28"/>
      <c r="R66">
        <f>H66</f>
        <v>0.45</v>
      </c>
    </row>
    <row r="67" spans="1:26" ht="14.25">
      <c r="A67" s="42"/>
      <c r="B67" s="43"/>
      <c r="C67" s="43" t="s">
        <v>428</v>
      </c>
      <c r="D67" s="24"/>
      <c r="E67" s="21"/>
      <c r="F67" s="25">
        <f>Source!AL36</f>
        <v>4.25</v>
      </c>
      <c r="G67" s="26" t="str">
        <f>Source!DD36</f>
        <v/>
      </c>
      <c r="H67" s="27">
        <f>ROUND(Source!AC36*Source!I36, 2)</f>
        <v>12.75</v>
      </c>
      <c r="I67" s="26"/>
      <c r="J67" s="26">
        <f>IF(Source!BC36&lt;&gt; 0, Source!BC36, 1)</f>
        <v>5.93</v>
      </c>
      <c r="K67" s="27">
        <f>Source!P36</f>
        <v>75.61</v>
      </c>
      <c r="L67" s="28"/>
    </row>
    <row r="68" spans="1:26" ht="14.25">
      <c r="A68" s="42"/>
      <c r="B68" s="43"/>
      <c r="C68" s="43" t="s">
        <v>422</v>
      </c>
      <c r="D68" s="24" t="s">
        <v>423</v>
      </c>
      <c r="E68" s="21">
        <f>Source!BZ36</f>
        <v>128</v>
      </c>
      <c r="F68" s="46"/>
      <c r="G68" s="26"/>
      <c r="H68" s="27">
        <f>SUM(S63:S71)</f>
        <v>110.58</v>
      </c>
      <c r="I68" s="29" t="str">
        <f>CONCATENATE(Source!FX36, Source!FV36, "=")</f>
        <v>128*0,85=</v>
      </c>
      <c r="J68" s="23">
        <f>Source!AT36</f>
        <v>109</v>
      </c>
      <c r="K68" s="27">
        <f>SUM(T63:T71)</f>
        <v>2437.92</v>
      </c>
      <c r="L68" s="28"/>
    </row>
    <row r="69" spans="1:26" ht="14.25">
      <c r="A69" s="42"/>
      <c r="B69" s="43"/>
      <c r="C69" s="43" t="s">
        <v>424</v>
      </c>
      <c r="D69" s="24" t="s">
        <v>423</v>
      </c>
      <c r="E69" s="21">
        <f>Source!CA36</f>
        <v>83</v>
      </c>
      <c r="F69" s="81" t="str">
        <f>CONCATENATE(" )", Source!DM36, Source!FU36, "=", Source!FY36)</f>
        <v xml:space="preserve"> )*0,85=70,55</v>
      </c>
      <c r="G69" s="82"/>
      <c r="H69" s="27">
        <f>SUM(U63:U71)</f>
        <v>60.95</v>
      </c>
      <c r="I69" s="29" t="str">
        <f>CONCATENATE(Source!FY36, Source!FW36, "=")</f>
        <v>70,55*0,8=</v>
      </c>
      <c r="J69" s="23">
        <f>Source!AU36</f>
        <v>56</v>
      </c>
      <c r="K69" s="27">
        <f>SUM(V63:V71)</f>
        <v>1252.51</v>
      </c>
      <c r="L69" s="28"/>
    </row>
    <row r="70" spans="1:26" ht="14.25">
      <c r="A70" s="42"/>
      <c r="B70" s="43"/>
      <c r="C70" s="43" t="s">
        <v>425</v>
      </c>
      <c r="D70" s="24" t="s">
        <v>426</v>
      </c>
      <c r="E70" s="21">
        <f>Source!AQ36</f>
        <v>2.92</v>
      </c>
      <c r="F70" s="25"/>
      <c r="G70" s="26" t="str">
        <f>Source!DI36</f>
        <v>)*1,15</v>
      </c>
      <c r="H70" s="27"/>
      <c r="I70" s="26"/>
      <c r="J70" s="26"/>
      <c r="K70" s="27"/>
      <c r="L70" s="30">
        <f>Source!U36</f>
        <v>10.073999999999998</v>
      </c>
    </row>
    <row r="71" spans="1:26" ht="28.5">
      <c r="A71" s="44" t="str">
        <f>Source!E37</f>
        <v>7,1</v>
      </c>
      <c r="B71" s="45" t="str">
        <f>Source!F37</f>
        <v>12.1.01.01-0002</v>
      </c>
      <c r="C71" s="45" t="str">
        <f>Source!G37</f>
        <v>Аэратор пластиковый для плоских кровель</v>
      </c>
      <c r="D71" s="31" t="str">
        <f>Source!DW37</f>
        <v>шт.</v>
      </c>
      <c r="E71" s="32">
        <f>Source!I37</f>
        <v>3</v>
      </c>
      <c r="F71" s="33">
        <f>Source!AL37+Source!AM37+Source!AO37</f>
        <v>54.34</v>
      </c>
      <c r="G71" s="34" t="s">
        <v>6</v>
      </c>
      <c r="H71" s="35">
        <f>ROUND(Source!AC37*Source!I37, 2)+ROUND(Source!AD37*Source!I37, 2)+ROUND(Source!AF37*Source!I37, 2)</f>
        <v>163.02000000000001</v>
      </c>
      <c r="I71" s="36"/>
      <c r="J71" s="36">
        <f>IF(Source!BC37&lt;&gt; 0, Source!BC37, 1)</f>
        <v>4.57</v>
      </c>
      <c r="K71" s="35">
        <f>Source!O37</f>
        <v>745</v>
      </c>
      <c r="L71" s="37"/>
      <c r="S71">
        <f>ROUND((Source!FX37/100)*((ROUND(Source!AF37*Source!I37, 2)+ROUND(Source!AE37*Source!I37, 2))), 2)</f>
        <v>0</v>
      </c>
      <c r="T71">
        <f>Source!X37</f>
        <v>0</v>
      </c>
      <c r="U71">
        <f>ROUND((Source!FY37/100)*((ROUND(Source!AF37*Source!I37, 2)+ROUND(Source!AE37*Source!I37, 2))), 2)</f>
        <v>0</v>
      </c>
      <c r="V71">
        <f>Source!Y37</f>
        <v>0</v>
      </c>
      <c r="W71">
        <f>IF(Source!BI37&lt;=1,H71, 0)</f>
        <v>163.02000000000001</v>
      </c>
      <c r="X71">
        <f>IF(Source!BI37=2,H71, 0)</f>
        <v>0</v>
      </c>
      <c r="Y71">
        <f>IF(Source!BI37=3,H71, 0)</f>
        <v>0</v>
      </c>
      <c r="Z71">
        <f>IF(Source!BI37=4,H71, 0)</f>
        <v>0</v>
      </c>
    </row>
    <row r="72" spans="1:26" ht="15">
      <c r="G72" s="79">
        <f>H64+H65+H67+H68+H69+SUM(H71:H71)</f>
        <v>443.44000000000005</v>
      </c>
      <c r="H72" s="79"/>
      <c r="J72" s="79">
        <f>K64+K65+K67+K68+K69+SUM(K71:K71)</f>
        <v>6788.85</v>
      </c>
      <c r="K72" s="79"/>
      <c r="L72" s="38">
        <f>Source!U36</f>
        <v>10.073999999999998</v>
      </c>
      <c r="O72" s="18">
        <f>G72</f>
        <v>443.44000000000005</v>
      </c>
      <c r="P72" s="18">
        <f>J72</f>
        <v>6788.85</v>
      </c>
      <c r="Q72" s="18">
        <f>L72</f>
        <v>10.073999999999998</v>
      </c>
      <c r="W72">
        <f>IF(Source!BI36&lt;=1,H64+H65+H67+H68+H69, 0)</f>
        <v>280.42</v>
      </c>
      <c r="X72">
        <f>IF(Source!BI36=2,H64+H65+H67+H68+H69, 0)</f>
        <v>0</v>
      </c>
      <c r="Y72">
        <f>IF(Source!BI36=3,H64+H65+H67+H68+H69, 0)</f>
        <v>0</v>
      </c>
      <c r="Z72">
        <f>IF(Source!BI36=4,H64+H65+H67+H68+H69, 0)</f>
        <v>0</v>
      </c>
    </row>
    <row r="73" spans="1:26" ht="54">
      <c r="A73" s="42" t="str">
        <f>Source!E38</f>
        <v>8</v>
      </c>
      <c r="B73" s="43" t="s">
        <v>431</v>
      </c>
      <c r="C73" s="43" t="str">
        <f>Source!G38</f>
        <v>Обеспыливание поверхности</v>
      </c>
      <c r="D73" s="24" t="str">
        <f>Source!DW38</f>
        <v>м2</v>
      </c>
      <c r="E73" s="21">
        <f>Source!I38</f>
        <v>7997</v>
      </c>
      <c r="F73" s="25">
        <f>Source!AL38+Source!AM38+Source!AO38</f>
        <v>0.85</v>
      </c>
      <c r="G73" s="26"/>
      <c r="H73" s="27"/>
      <c r="I73" s="26" t="str">
        <f>Source!BO38</f>
        <v>13-06-004-01</v>
      </c>
      <c r="J73" s="26"/>
      <c r="K73" s="27"/>
      <c r="L73" s="28"/>
      <c r="S73">
        <f>ROUND((Source!FX38/100)*((ROUND(Source!AF38*Source!I38, 2)+ROUND(Source!AE38*Source!I38, 2))), 2)</f>
        <v>7035.36</v>
      </c>
      <c r="T73">
        <f>Source!X38</f>
        <v>155835.59</v>
      </c>
      <c r="U73">
        <f>ROUND((Source!FY38/100)*((ROUND(Source!AF38*Source!I38, 2)+ROUND(Source!AE38*Source!I38, 2))), 2)</f>
        <v>4651.16</v>
      </c>
      <c r="V73">
        <f>Source!Y38</f>
        <v>97144.26</v>
      </c>
    </row>
    <row r="74" spans="1:26" ht="14.25">
      <c r="A74" s="42"/>
      <c r="B74" s="43"/>
      <c r="C74" s="43" t="s">
        <v>421</v>
      </c>
      <c r="D74" s="24"/>
      <c r="E74" s="21"/>
      <c r="F74" s="25">
        <f>Source!AO38</f>
        <v>0.85</v>
      </c>
      <c r="G74" s="26" t="str">
        <f>Source!DG38</f>
        <v>)*1,15</v>
      </c>
      <c r="H74" s="27">
        <f>ROUND(Source!AF38*Source!I38, 2)</f>
        <v>7817.07</v>
      </c>
      <c r="I74" s="26"/>
      <c r="J74" s="26">
        <f>IF(Source!BA38&lt;&gt; 0, Source!BA38, 1)</f>
        <v>25.89</v>
      </c>
      <c r="K74" s="27">
        <f>Source!S38</f>
        <v>202383.88</v>
      </c>
      <c r="L74" s="28"/>
      <c r="R74">
        <f>H74</f>
        <v>7817.07</v>
      </c>
    </row>
    <row r="75" spans="1:26" ht="14.25">
      <c r="A75" s="42"/>
      <c r="B75" s="43"/>
      <c r="C75" s="43" t="s">
        <v>422</v>
      </c>
      <c r="D75" s="24" t="s">
        <v>423</v>
      </c>
      <c r="E75" s="21">
        <f>Source!BZ38</f>
        <v>90</v>
      </c>
      <c r="F75" s="46"/>
      <c r="G75" s="26"/>
      <c r="H75" s="27">
        <f>SUM(S73:S77)</f>
        <v>7035.36</v>
      </c>
      <c r="I75" s="29" t="str">
        <f>CONCATENATE(Source!FX38, Source!FV38, "=")</f>
        <v>90*0,85=</v>
      </c>
      <c r="J75" s="23">
        <f>Source!AT38</f>
        <v>77</v>
      </c>
      <c r="K75" s="27">
        <f>SUM(T73:T77)</f>
        <v>155835.59</v>
      </c>
      <c r="L75" s="28"/>
    </row>
    <row r="76" spans="1:26" ht="14.25">
      <c r="A76" s="42"/>
      <c r="B76" s="43"/>
      <c r="C76" s="43" t="s">
        <v>424</v>
      </c>
      <c r="D76" s="24" t="s">
        <v>423</v>
      </c>
      <c r="E76" s="21">
        <f>Source!CA38</f>
        <v>70</v>
      </c>
      <c r="F76" s="81" t="str">
        <f>CONCATENATE(" )", Source!DM38, Source!FU38, "=", Source!FY38)</f>
        <v xml:space="preserve"> )*0,85=59,5</v>
      </c>
      <c r="G76" s="82"/>
      <c r="H76" s="27">
        <f>SUM(U73:U77)</f>
        <v>4651.16</v>
      </c>
      <c r="I76" s="29" t="str">
        <f>CONCATENATE(Source!FY38, Source!FW38, "=")</f>
        <v>59,5*0,8=</v>
      </c>
      <c r="J76" s="23">
        <f>Source!AU38</f>
        <v>48</v>
      </c>
      <c r="K76" s="27">
        <f>SUM(V73:V77)</f>
        <v>97144.26</v>
      </c>
      <c r="L76" s="28"/>
    </row>
    <row r="77" spans="1:26" ht="14.25">
      <c r="A77" s="44"/>
      <c r="B77" s="45"/>
      <c r="C77" s="45" t="s">
        <v>425</v>
      </c>
      <c r="D77" s="31" t="s">
        <v>426</v>
      </c>
      <c r="E77" s="32">
        <f>Source!AQ38</f>
        <v>0.1</v>
      </c>
      <c r="F77" s="33"/>
      <c r="G77" s="36" t="str">
        <f>Source!DI38</f>
        <v>)*1,15</v>
      </c>
      <c r="H77" s="35"/>
      <c r="I77" s="36"/>
      <c r="J77" s="36"/>
      <c r="K77" s="35"/>
      <c r="L77" s="39">
        <f>Source!U38</f>
        <v>919.65499999999997</v>
      </c>
    </row>
    <row r="78" spans="1:26" ht="15">
      <c r="G78" s="79">
        <f>H74+H75+H76</f>
        <v>19503.59</v>
      </c>
      <c r="H78" s="79"/>
      <c r="J78" s="79">
        <f>K74+K75+K76</f>
        <v>455363.73</v>
      </c>
      <c r="K78" s="79"/>
      <c r="L78" s="38">
        <f>Source!U38</f>
        <v>919.65499999999997</v>
      </c>
      <c r="O78" s="18">
        <f>G78</f>
        <v>19503.59</v>
      </c>
      <c r="P78" s="18">
        <f>J78</f>
        <v>455363.73</v>
      </c>
      <c r="Q78" s="18">
        <f>L78</f>
        <v>919.65499999999997</v>
      </c>
      <c r="W78">
        <f>IF(Source!BI38&lt;=1,H74+H75+H76, 0)</f>
        <v>19503.59</v>
      </c>
      <c r="X78">
        <f>IF(Source!BI38=2,H74+H75+H76, 0)</f>
        <v>0</v>
      </c>
      <c r="Y78">
        <f>IF(Source!BI38=3,H74+H75+H76, 0)</f>
        <v>0</v>
      </c>
      <c r="Z78">
        <f>IF(Source!BI38=4,H74+H75+H76, 0)</f>
        <v>0</v>
      </c>
    </row>
    <row r="79" spans="1:26" ht="99.75">
      <c r="A79" s="42" t="str">
        <f>Source!E39</f>
        <v>9</v>
      </c>
      <c r="B79" s="43" t="s">
        <v>432</v>
      </c>
      <c r="C79" s="43" t="str">
        <f>Source!G39</f>
        <v>Изоляция плоских и криволинейных поверхностей из пенополиуретана методом напыления (теплоизоляция плоских и криволинейных поверхностей из пенополиуретана с фреоновым вспениванием методом напыления толщиной 15 мм)</v>
      </c>
      <c r="D79" s="24" t="str">
        <f>Source!DW39</f>
        <v>м3</v>
      </c>
      <c r="E79" s="21">
        <f>Source!I39</f>
        <v>123</v>
      </c>
      <c r="F79" s="25">
        <f>Source!AL39+Source!AM39+Source!AO39</f>
        <v>5604.43</v>
      </c>
      <c r="G79" s="26"/>
      <c r="H79" s="27"/>
      <c r="I79" s="26" t="str">
        <f>Source!BO39</f>
        <v>26-01-021-01</v>
      </c>
      <c r="J79" s="26"/>
      <c r="K79" s="27"/>
      <c r="L79" s="28"/>
      <c r="S79">
        <f>ROUND((Source!FX39/100)*((ROUND(Source!AF39*Source!I39, 2)+ROUND(Source!AE39*Source!I39, 2))), 2)</f>
        <v>45550.1</v>
      </c>
      <c r="T79">
        <f>Source!X39</f>
        <v>1002398.23</v>
      </c>
      <c r="U79">
        <f>ROUND((Source!FY39/100)*((ROUND(Source!AF39*Source!I39, 2)+ROUND(Source!AE39*Source!I39, 2))), 2)</f>
        <v>27102.31</v>
      </c>
      <c r="V79">
        <f>Source!Y39</f>
        <v>566060.17000000004</v>
      </c>
    </row>
    <row r="80" spans="1:26" ht="14.25">
      <c r="A80" s="42"/>
      <c r="B80" s="43"/>
      <c r="C80" s="43" t="s">
        <v>421</v>
      </c>
      <c r="D80" s="24"/>
      <c r="E80" s="21"/>
      <c r="F80" s="25">
        <f>Source!AO39</f>
        <v>317.74</v>
      </c>
      <c r="G80" s="26" t="str">
        <f>Source!DG39</f>
        <v>)*1,15</v>
      </c>
      <c r="H80" s="27">
        <f>ROUND(Source!AF39*Source!I39, 2)</f>
        <v>44944.32</v>
      </c>
      <c r="I80" s="26"/>
      <c r="J80" s="26">
        <f>IF(Source!BA39&lt;&gt; 0, Source!BA39, 1)</f>
        <v>25.89</v>
      </c>
      <c r="K80" s="27">
        <f>Source!S39</f>
        <v>1163608.52</v>
      </c>
      <c r="L80" s="28"/>
      <c r="R80">
        <f>H80</f>
        <v>44944.32</v>
      </c>
    </row>
    <row r="81" spans="1:26" ht="14.25">
      <c r="A81" s="42"/>
      <c r="B81" s="43"/>
      <c r="C81" s="43" t="s">
        <v>189</v>
      </c>
      <c r="D81" s="24"/>
      <c r="E81" s="21"/>
      <c r="F81" s="25">
        <f>Source!AM39</f>
        <v>307.93</v>
      </c>
      <c r="G81" s="26" t="str">
        <f>Source!DE39</f>
        <v>)*1,25</v>
      </c>
      <c r="H81" s="27">
        <f>ROUND(Source!AD39*Source!I39, 2)</f>
        <v>47344.24</v>
      </c>
      <c r="I81" s="26"/>
      <c r="J81" s="26">
        <f>IF(Source!BB39&lt;&gt; 0, Source!BB39, 1)</f>
        <v>3.97</v>
      </c>
      <c r="K81" s="27">
        <f>Source!Q39</f>
        <v>187956.62</v>
      </c>
      <c r="L81" s="28"/>
    </row>
    <row r="82" spans="1:26" ht="14.25">
      <c r="A82" s="42"/>
      <c r="B82" s="43"/>
      <c r="C82" s="43" t="s">
        <v>427</v>
      </c>
      <c r="D82" s="24"/>
      <c r="E82" s="21"/>
      <c r="F82" s="25">
        <f>Source!AN39</f>
        <v>3.94</v>
      </c>
      <c r="G82" s="26" t="str">
        <f>Source!DF39</f>
        <v>)*1,25</v>
      </c>
      <c r="H82" s="40">
        <f>ROUND(Source!AE39*Source!I39, 2)</f>
        <v>605.78</v>
      </c>
      <c r="I82" s="26"/>
      <c r="J82" s="26">
        <f>IF(Source!BS39&lt;&gt; 0, Source!BS39, 1)</f>
        <v>25.89</v>
      </c>
      <c r="K82" s="40">
        <f>Source!R39</f>
        <v>15683.51</v>
      </c>
      <c r="L82" s="28"/>
      <c r="R82">
        <f>H82</f>
        <v>605.78</v>
      </c>
    </row>
    <row r="83" spans="1:26" ht="14.25">
      <c r="A83" s="42"/>
      <c r="B83" s="43"/>
      <c r="C83" s="43" t="s">
        <v>428</v>
      </c>
      <c r="D83" s="24"/>
      <c r="E83" s="21"/>
      <c r="F83" s="25">
        <f>Source!AL39</f>
        <v>4978.76</v>
      </c>
      <c r="G83" s="26" t="str">
        <f>Source!DD39</f>
        <v/>
      </c>
      <c r="H83" s="27">
        <f>ROUND(Source!AC39*Source!I39, 2)</f>
        <v>612387.48</v>
      </c>
      <c r="I83" s="26"/>
      <c r="J83" s="26">
        <f>IF(Source!BC39&lt;&gt; 0, Source!BC39, 1)</f>
        <v>2.7</v>
      </c>
      <c r="K83" s="27">
        <f>Source!P39</f>
        <v>1653446.2</v>
      </c>
      <c r="L83" s="28"/>
    </row>
    <row r="84" spans="1:26" ht="14.25">
      <c r="A84" s="42"/>
      <c r="B84" s="43"/>
      <c r="C84" s="43" t="s">
        <v>422</v>
      </c>
      <c r="D84" s="24" t="s">
        <v>423</v>
      </c>
      <c r="E84" s="21">
        <f>Source!BZ39</f>
        <v>100</v>
      </c>
      <c r="F84" s="46"/>
      <c r="G84" s="26"/>
      <c r="H84" s="27">
        <f>SUM(S79:S89)</f>
        <v>45550.1</v>
      </c>
      <c r="I84" s="29" t="str">
        <f>CONCATENATE(Source!FX39, Source!FV39, "=")</f>
        <v>100*0,85=</v>
      </c>
      <c r="J84" s="23">
        <f>Source!AT39</f>
        <v>85</v>
      </c>
      <c r="K84" s="27">
        <f>SUM(T79:T89)</f>
        <v>1002398.23</v>
      </c>
      <c r="L84" s="28"/>
    </row>
    <row r="85" spans="1:26" ht="14.25">
      <c r="A85" s="42"/>
      <c r="B85" s="43"/>
      <c r="C85" s="43" t="s">
        <v>424</v>
      </c>
      <c r="D85" s="24" t="s">
        <v>423</v>
      </c>
      <c r="E85" s="21">
        <f>Source!CA39</f>
        <v>70</v>
      </c>
      <c r="F85" s="81" t="str">
        <f>CONCATENATE(" )", Source!DM39, Source!FU39, "=", Source!FY39)</f>
        <v xml:space="preserve"> )*0,85=59,5</v>
      </c>
      <c r="G85" s="82"/>
      <c r="H85" s="27">
        <f>SUM(U79:U89)</f>
        <v>27102.31</v>
      </c>
      <c r="I85" s="29" t="str">
        <f>CONCATENATE(Source!FY39, Source!FW39, "=")</f>
        <v>59,5*0,8=</v>
      </c>
      <c r="J85" s="23">
        <f>Source!AU39</f>
        <v>48</v>
      </c>
      <c r="K85" s="27">
        <f>SUM(V79:V89)</f>
        <v>566060.17000000004</v>
      </c>
      <c r="L85" s="28"/>
    </row>
    <row r="86" spans="1:26" ht="14.25">
      <c r="A86" s="42"/>
      <c r="B86" s="43"/>
      <c r="C86" s="43" t="s">
        <v>425</v>
      </c>
      <c r="D86" s="24" t="s">
        <v>426</v>
      </c>
      <c r="E86" s="21">
        <f>Source!AQ39</f>
        <v>32.03</v>
      </c>
      <c r="F86" s="25"/>
      <c r="G86" s="26" t="str">
        <f>Source!DI39</f>
        <v>)*1,15</v>
      </c>
      <c r="H86" s="27"/>
      <c r="I86" s="26"/>
      <c r="J86" s="26"/>
      <c r="K86" s="27"/>
      <c r="L86" s="30">
        <f>Source!U39</f>
        <v>4530.6435000000001</v>
      </c>
    </row>
    <row r="87" spans="1:26" ht="28.5">
      <c r="A87" s="42" t="str">
        <f>Source!E40</f>
        <v>9,1</v>
      </c>
      <c r="B87" s="43" t="str">
        <f>Source!F40</f>
        <v>12.2.03.05-0001</v>
      </c>
      <c r="C87" s="43" t="str">
        <f>Source!G40</f>
        <v>Компонент А системы жидких компонентов для напыления ППУ</v>
      </c>
      <c r="D87" s="24" t="str">
        <f>Source!DW40</f>
        <v>кг</v>
      </c>
      <c r="E87" s="21">
        <f>Source!I40</f>
        <v>-5269.32</v>
      </c>
      <c r="F87" s="25">
        <f>Source!AL40+Source!AM40+Source!AO40</f>
        <v>58.1</v>
      </c>
      <c r="G87" s="41" t="s">
        <v>6</v>
      </c>
      <c r="H87" s="27">
        <f>ROUND(Source!AC40*Source!I40, 2)+ROUND(Source!AD40*Source!I40, 2)+ROUND(Source!AF40*Source!I40, 2)</f>
        <v>-306147.49</v>
      </c>
      <c r="I87" s="26"/>
      <c r="J87" s="26">
        <f>IF(Source!BC40&lt;&gt; 0, Source!BC40, 1)</f>
        <v>2.6</v>
      </c>
      <c r="K87" s="27">
        <f>Source!O40</f>
        <v>-795983.48</v>
      </c>
      <c r="L87" s="28"/>
      <c r="S87">
        <f>ROUND((Source!FX40/100)*((ROUND(Source!AF40*Source!I40, 2)+ROUND(Source!AE40*Source!I40, 2))), 2)</f>
        <v>0</v>
      </c>
      <c r="T87">
        <f>Source!X40</f>
        <v>0</v>
      </c>
      <c r="U87">
        <f>ROUND((Source!FY40/100)*((ROUND(Source!AF40*Source!I40, 2)+ROUND(Source!AE40*Source!I40, 2))), 2)</f>
        <v>0</v>
      </c>
      <c r="V87">
        <f>Source!Y40</f>
        <v>0</v>
      </c>
      <c r="W87">
        <f>IF(Source!BI40&lt;=1,H87, 0)</f>
        <v>-306147.49</v>
      </c>
      <c r="X87">
        <f>IF(Source!BI40=2,H87, 0)</f>
        <v>0</v>
      </c>
      <c r="Y87">
        <f>IF(Source!BI40=3,H87, 0)</f>
        <v>0</v>
      </c>
      <c r="Z87">
        <f>IF(Source!BI40=4,H87, 0)</f>
        <v>0</v>
      </c>
    </row>
    <row r="88" spans="1:26" ht="28.5">
      <c r="A88" s="42" t="str">
        <f>Source!E41</f>
        <v>9,2</v>
      </c>
      <c r="B88" s="43" t="str">
        <f>Source!F41</f>
        <v>12.2.03.05-0003</v>
      </c>
      <c r="C88" s="43" t="str">
        <f>Source!G41</f>
        <v>Компонент Б системы жидких компонентов для напыления ППУ</v>
      </c>
      <c r="D88" s="24" t="str">
        <f>Source!DW41</f>
        <v>кг</v>
      </c>
      <c r="E88" s="21">
        <f>Source!I41</f>
        <v>-5062.68</v>
      </c>
      <c r="F88" s="25">
        <f>Source!AL41+Source!AM41+Source!AO41</f>
        <v>51.8</v>
      </c>
      <c r="G88" s="41" t="s">
        <v>6</v>
      </c>
      <c r="H88" s="27">
        <f>ROUND(Source!AC41*Source!I41, 2)+ROUND(Source!AD41*Source!I41, 2)+ROUND(Source!AF41*Source!I41, 2)</f>
        <v>-262246.82</v>
      </c>
      <c r="I88" s="26"/>
      <c r="J88" s="26">
        <f>IF(Source!BC41&lt;&gt; 0, Source!BC41, 1)</f>
        <v>2.56</v>
      </c>
      <c r="K88" s="27">
        <f>Source!O41</f>
        <v>-671351.87</v>
      </c>
      <c r="L88" s="28"/>
      <c r="S88">
        <f>ROUND((Source!FX41/100)*((ROUND(Source!AF41*Source!I41, 2)+ROUND(Source!AE41*Source!I41, 2))), 2)</f>
        <v>0</v>
      </c>
      <c r="T88">
        <f>Source!X41</f>
        <v>0</v>
      </c>
      <c r="U88">
        <f>ROUND((Source!FY41/100)*((ROUND(Source!AF41*Source!I41, 2)+ROUND(Source!AE41*Source!I41, 2))), 2)</f>
        <v>0</v>
      </c>
      <c r="V88">
        <f>Source!Y41</f>
        <v>0</v>
      </c>
      <c r="W88">
        <f>IF(Source!BI41&lt;=1,H88, 0)</f>
        <v>-262246.82</v>
      </c>
      <c r="X88">
        <f>IF(Source!BI41=2,H88, 0)</f>
        <v>0</v>
      </c>
      <c r="Y88">
        <f>IF(Source!BI41=3,H88, 0)</f>
        <v>0</v>
      </c>
      <c r="Z88">
        <f>IF(Source!BI41=4,H88, 0)</f>
        <v>0</v>
      </c>
    </row>
    <row r="89" spans="1:26" ht="96.75">
      <c r="A89" s="44" t="str">
        <f>Source!E42</f>
        <v>9,3</v>
      </c>
      <c r="B89" s="45" t="str">
        <f>Source!F42</f>
        <v>Прайс</v>
      </c>
      <c r="C89" s="45" t="s">
        <v>433</v>
      </c>
      <c r="D89" s="31" t="str">
        <f>Source!DW42</f>
        <v>кг</v>
      </c>
      <c r="E89" s="32">
        <f>Source!I42</f>
        <v>6560</v>
      </c>
      <c r="F89" s="33">
        <f>Source!AL42+Source!AM42+Source!AO42</f>
        <v>255</v>
      </c>
      <c r="G89" s="34" t="s">
        <v>6</v>
      </c>
      <c r="H89" s="35">
        <f>ROUND(Source!AC42*Source!I42, 2)+ROUND(Source!AD42*Source!I42, 2)+ROUND(Source!AF42*Source!I42, 2)</f>
        <v>1672800</v>
      </c>
      <c r="I89" s="36"/>
      <c r="J89" s="36">
        <f>IF(Source!BC42&lt;&gt; 0, Source!BC42, 1)</f>
        <v>1</v>
      </c>
      <c r="K89" s="35">
        <f>Source!O42</f>
        <v>1672800</v>
      </c>
      <c r="L89" s="37"/>
      <c r="S89">
        <f>ROUND((Source!FX42/100)*((ROUND(Source!AF42*Source!I42, 2)+ROUND(Source!AE42*Source!I42, 2))), 2)</f>
        <v>0</v>
      </c>
      <c r="T89">
        <f>Source!X42</f>
        <v>0</v>
      </c>
      <c r="U89">
        <f>ROUND((Source!FY42/100)*((ROUND(Source!AF42*Source!I42, 2)+ROUND(Source!AE42*Source!I42, 2))), 2)</f>
        <v>0</v>
      </c>
      <c r="V89">
        <f>Source!Y42</f>
        <v>0</v>
      </c>
      <c r="W89">
        <f>IF(Source!BI42&lt;=1,H89, 0)</f>
        <v>1672800</v>
      </c>
      <c r="X89">
        <f>IF(Source!BI42=2,H89, 0)</f>
        <v>0</v>
      </c>
      <c r="Y89">
        <f>IF(Source!BI42=3,H89, 0)</f>
        <v>0</v>
      </c>
      <c r="Z89">
        <f>IF(Source!BI42=4,H89, 0)</f>
        <v>0</v>
      </c>
    </row>
    <row r="90" spans="1:26" ht="15">
      <c r="G90" s="79">
        <f>H80+H81+H83+H84+H85+SUM(H87:H89)</f>
        <v>1881734.1400000001</v>
      </c>
      <c r="H90" s="79"/>
      <c r="J90" s="79">
        <f>K80+K81+K83+K84+K85+SUM(K87:K89)</f>
        <v>4778934.3900000006</v>
      </c>
      <c r="K90" s="79"/>
      <c r="L90" s="38">
        <f>Source!U39</f>
        <v>4530.6435000000001</v>
      </c>
      <c r="O90" s="18">
        <f>G90</f>
        <v>1881734.1400000001</v>
      </c>
      <c r="P90" s="18">
        <f>J90</f>
        <v>4778934.3900000006</v>
      </c>
      <c r="Q90" s="18">
        <f>L90</f>
        <v>4530.6435000000001</v>
      </c>
      <c r="W90">
        <f>IF(Source!BI39&lt;=1,H80+H81+H83+H84+H85, 0)</f>
        <v>777328.45000000007</v>
      </c>
      <c r="X90">
        <f>IF(Source!BI39=2,H80+H81+H83+H84+H85, 0)</f>
        <v>0</v>
      </c>
      <c r="Y90">
        <f>IF(Source!BI39=3,H80+H81+H83+H84+H85, 0)</f>
        <v>0</v>
      </c>
      <c r="Z90">
        <f>IF(Source!BI39=4,H80+H81+H83+H84+H85, 0)</f>
        <v>0</v>
      </c>
    </row>
    <row r="91" spans="1:26" ht="71.25">
      <c r="A91" s="42" t="str">
        <f>Source!E43</f>
        <v>10</v>
      </c>
      <c r="B91" s="43" t="s">
        <v>432</v>
      </c>
      <c r="C91" s="43" t="str">
        <f>Source!G43</f>
        <v>Гидрозоляция плоских и криволинейных поверхностей из полимочевины методом напыления толщиной 1,5-2,5 мм включая парапеты (прим.)</v>
      </c>
      <c r="D91" s="24" t="str">
        <f>Source!DW43</f>
        <v>м3</v>
      </c>
      <c r="E91" s="21">
        <f>Source!I43</f>
        <v>15.994</v>
      </c>
      <c r="F91" s="25">
        <f>Source!AL43+Source!AM43+Source!AO43</f>
        <v>5604.43</v>
      </c>
      <c r="G91" s="26"/>
      <c r="H91" s="27"/>
      <c r="I91" s="26" t="str">
        <f>Source!BO43</f>
        <v>26-01-021-01</v>
      </c>
      <c r="J91" s="26"/>
      <c r="K91" s="27"/>
      <c r="L91" s="28"/>
      <c r="S91">
        <f>ROUND((Source!FX43/100)*((ROUND(Source!AF43*Source!I43, 2)+ROUND(Source!AE43*Source!I43, 2))), 2)</f>
        <v>5922.99</v>
      </c>
      <c r="T91">
        <f>Source!X43</f>
        <v>130344.37</v>
      </c>
      <c r="U91">
        <f>ROUND((Source!FY43/100)*((ROUND(Source!AF43*Source!I43, 2)+ROUND(Source!AE43*Source!I43, 2))), 2)</f>
        <v>3524.18</v>
      </c>
      <c r="V91">
        <f>Source!Y43</f>
        <v>73606.23</v>
      </c>
    </row>
    <row r="92" spans="1:26" ht="14.25">
      <c r="A92" s="42"/>
      <c r="B92" s="43"/>
      <c r="C92" s="43" t="s">
        <v>421</v>
      </c>
      <c r="D92" s="24"/>
      <c r="E92" s="21"/>
      <c r="F92" s="25">
        <f>Source!AO43</f>
        <v>317.74</v>
      </c>
      <c r="G92" s="26" t="str">
        <f>Source!DG43</f>
        <v>)*1,15</v>
      </c>
      <c r="H92" s="27">
        <f>ROUND(Source!AF43*Source!I43, 2)</f>
        <v>5844.22</v>
      </c>
      <c r="I92" s="26"/>
      <c r="J92" s="26">
        <f>IF(Source!BA43&lt;&gt; 0, Source!BA43, 1)</f>
        <v>25.89</v>
      </c>
      <c r="K92" s="27">
        <f>Source!S43</f>
        <v>151306.95000000001</v>
      </c>
      <c r="L92" s="28"/>
      <c r="R92">
        <f>H92</f>
        <v>5844.22</v>
      </c>
    </row>
    <row r="93" spans="1:26" ht="14.25">
      <c r="A93" s="42"/>
      <c r="B93" s="43"/>
      <c r="C93" s="43" t="s">
        <v>189</v>
      </c>
      <c r="D93" s="24"/>
      <c r="E93" s="21"/>
      <c r="F93" s="25">
        <f>Source!AM43</f>
        <v>307.93</v>
      </c>
      <c r="G93" s="26" t="str">
        <f>Source!DE43</f>
        <v>)*1,25</v>
      </c>
      <c r="H93" s="27">
        <f>ROUND(Source!AD43*Source!I43, 2)</f>
        <v>6156.29</v>
      </c>
      <c r="I93" s="26"/>
      <c r="J93" s="26">
        <f>IF(Source!BB43&lt;&gt; 0, Source!BB43, 1)</f>
        <v>3.97</v>
      </c>
      <c r="K93" s="27">
        <f>Source!Q43</f>
        <v>24440.47</v>
      </c>
      <c r="L93" s="28"/>
    </row>
    <row r="94" spans="1:26" ht="14.25">
      <c r="A94" s="42"/>
      <c r="B94" s="43"/>
      <c r="C94" s="43" t="s">
        <v>427</v>
      </c>
      <c r="D94" s="24"/>
      <c r="E94" s="21"/>
      <c r="F94" s="25">
        <f>Source!AN43</f>
        <v>3.94</v>
      </c>
      <c r="G94" s="26" t="str">
        <f>Source!DF43</f>
        <v>)*1,25</v>
      </c>
      <c r="H94" s="40">
        <f>ROUND(Source!AE43*Source!I43, 2)</f>
        <v>78.77</v>
      </c>
      <c r="I94" s="26"/>
      <c r="J94" s="26">
        <f>IF(Source!BS43&lt;&gt; 0, Source!BS43, 1)</f>
        <v>25.89</v>
      </c>
      <c r="K94" s="40">
        <f>Source!R43</f>
        <v>2039.37</v>
      </c>
      <c r="L94" s="28"/>
      <c r="R94">
        <f>H94</f>
        <v>78.77</v>
      </c>
    </row>
    <row r="95" spans="1:26" ht="14.25">
      <c r="A95" s="42"/>
      <c r="B95" s="43"/>
      <c r="C95" s="43" t="s">
        <v>428</v>
      </c>
      <c r="D95" s="24"/>
      <c r="E95" s="21"/>
      <c r="F95" s="25">
        <f>Source!AL43</f>
        <v>4978.76</v>
      </c>
      <c r="G95" s="26" t="str">
        <f>Source!DD43</f>
        <v/>
      </c>
      <c r="H95" s="27">
        <f>ROUND(Source!AC43*Source!I43, 2)</f>
        <v>79630.289999999994</v>
      </c>
      <c r="I95" s="26"/>
      <c r="J95" s="26">
        <f>IF(Source!BC43&lt;&gt; 0, Source!BC43, 1)</f>
        <v>2.7</v>
      </c>
      <c r="K95" s="27">
        <f>Source!P43</f>
        <v>215001.78</v>
      </c>
      <c r="L95" s="28"/>
    </row>
    <row r="96" spans="1:26" ht="14.25">
      <c r="A96" s="42"/>
      <c r="B96" s="43"/>
      <c r="C96" s="43" t="s">
        <v>422</v>
      </c>
      <c r="D96" s="24" t="s">
        <v>423</v>
      </c>
      <c r="E96" s="21">
        <f>Source!BZ43</f>
        <v>100</v>
      </c>
      <c r="F96" s="46"/>
      <c r="G96" s="26"/>
      <c r="H96" s="27">
        <f>SUM(S91:S101)</f>
        <v>5922.99</v>
      </c>
      <c r="I96" s="29" t="str">
        <f>CONCATENATE(Source!FX43, Source!FV43, "=")</f>
        <v>100*0,85=</v>
      </c>
      <c r="J96" s="23">
        <f>Source!AT43</f>
        <v>85</v>
      </c>
      <c r="K96" s="27">
        <f>SUM(T91:T101)</f>
        <v>130344.37</v>
      </c>
      <c r="L96" s="28"/>
    </row>
    <row r="97" spans="1:26" ht="14.25">
      <c r="A97" s="42"/>
      <c r="B97" s="43"/>
      <c r="C97" s="43" t="s">
        <v>424</v>
      </c>
      <c r="D97" s="24" t="s">
        <v>423</v>
      </c>
      <c r="E97" s="21">
        <f>Source!CA43</f>
        <v>70</v>
      </c>
      <c r="F97" s="81" t="str">
        <f>CONCATENATE(" )", Source!DM43, Source!FU43, "=", Source!FY43)</f>
        <v xml:space="preserve"> )*0,85=59,5</v>
      </c>
      <c r="G97" s="82"/>
      <c r="H97" s="27">
        <f>SUM(U91:U101)</f>
        <v>3524.18</v>
      </c>
      <c r="I97" s="29" t="str">
        <f>CONCATENATE(Source!FY43, Source!FW43, "=")</f>
        <v>59,5*0,8=</v>
      </c>
      <c r="J97" s="23">
        <f>Source!AU43</f>
        <v>48</v>
      </c>
      <c r="K97" s="27">
        <f>SUM(V91:V101)</f>
        <v>73606.23</v>
      </c>
      <c r="L97" s="28"/>
    </row>
    <row r="98" spans="1:26" ht="14.25">
      <c r="A98" s="42"/>
      <c r="B98" s="43"/>
      <c r="C98" s="43" t="s">
        <v>425</v>
      </c>
      <c r="D98" s="24" t="s">
        <v>426</v>
      </c>
      <c r="E98" s="21">
        <f>Source!AQ43</f>
        <v>32.03</v>
      </c>
      <c r="F98" s="25"/>
      <c r="G98" s="26" t="str">
        <f>Source!DI43</f>
        <v>)*1,15</v>
      </c>
      <c r="H98" s="27"/>
      <c r="I98" s="26"/>
      <c r="J98" s="26"/>
      <c r="K98" s="27"/>
      <c r="L98" s="30">
        <f>Source!U43</f>
        <v>589.13099299999999</v>
      </c>
    </row>
    <row r="99" spans="1:26" ht="28.5">
      <c r="A99" s="42" t="str">
        <f>Source!E44</f>
        <v>10,1</v>
      </c>
      <c r="B99" s="43" t="str">
        <f>Source!F44</f>
        <v>12.2.03.05-0001</v>
      </c>
      <c r="C99" s="43" t="str">
        <f>Source!G44</f>
        <v>Компонент А системы жидких компонентов для напыления ППУ</v>
      </c>
      <c r="D99" s="24" t="str">
        <f>Source!DW44</f>
        <v>кг</v>
      </c>
      <c r="E99" s="21">
        <f>Source!I44</f>
        <v>-685.18295999999998</v>
      </c>
      <c r="F99" s="25">
        <f>Source!AL44+Source!AM44+Source!AO44</f>
        <v>58.1</v>
      </c>
      <c r="G99" s="41" t="s">
        <v>6</v>
      </c>
      <c r="H99" s="27">
        <f>ROUND(Source!AC44*Source!I44, 2)+ROUND(Source!AD44*Source!I44, 2)+ROUND(Source!AF44*Source!I44, 2)</f>
        <v>-39809.129999999997</v>
      </c>
      <c r="I99" s="26"/>
      <c r="J99" s="26">
        <f>IF(Source!BC44&lt;&gt; 0, Source!BC44, 1)</f>
        <v>2.6</v>
      </c>
      <c r="K99" s="27">
        <f>Source!O44</f>
        <v>-103503.74</v>
      </c>
      <c r="L99" s="28"/>
      <c r="S99">
        <f>ROUND((Source!FX44/100)*((ROUND(Source!AF44*Source!I44, 2)+ROUND(Source!AE44*Source!I44, 2))), 2)</f>
        <v>0</v>
      </c>
      <c r="T99">
        <f>Source!X44</f>
        <v>0</v>
      </c>
      <c r="U99">
        <f>ROUND((Source!FY44/100)*((ROUND(Source!AF44*Source!I44, 2)+ROUND(Source!AE44*Source!I44, 2))), 2)</f>
        <v>0</v>
      </c>
      <c r="V99">
        <f>Source!Y44</f>
        <v>0</v>
      </c>
      <c r="W99">
        <f>IF(Source!BI44&lt;=1,H99, 0)</f>
        <v>-39809.129999999997</v>
      </c>
      <c r="X99">
        <f>IF(Source!BI44=2,H99, 0)</f>
        <v>0</v>
      </c>
      <c r="Y99">
        <f>IF(Source!BI44=3,H99, 0)</f>
        <v>0</v>
      </c>
      <c r="Z99">
        <f>IF(Source!BI44=4,H99, 0)</f>
        <v>0</v>
      </c>
    </row>
    <row r="100" spans="1:26" ht="28.5">
      <c r="A100" s="42" t="str">
        <f>Source!E45</f>
        <v>10,2</v>
      </c>
      <c r="B100" s="43" t="str">
        <f>Source!F45</f>
        <v>12.2.03.05-0003</v>
      </c>
      <c r="C100" s="43" t="str">
        <f>Source!G45</f>
        <v>Компонент Б системы жидких компонентов для напыления ППУ</v>
      </c>
      <c r="D100" s="24" t="str">
        <f>Source!DW45</f>
        <v>кг</v>
      </c>
      <c r="E100" s="21">
        <f>Source!I45</f>
        <v>-658.31304</v>
      </c>
      <c r="F100" s="25">
        <f>Source!AL45+Source!AM45+Source!AO45</f>
        <v>51.8</v>
      </c>
      <c r="G100" s="41" t="s">
        <v>6</v>
      </c>
      <c r="H100" s="27">
        <f>ROUND(Source!AC45*Source!I45, 2)+ROUND(Source!AD45*Source!I45, 2)+ROUND(Source!AF45*Source!I45, 2)</f>
        <v>-34100.620000000003</v>
      </c>
      <c r="I100" s="26"/>
      <c r="J100" s="26">
        <f>IF(Source!BC45&lt;&gt; 0, Source!BC45, 1)</f>
        <v>2.56</v>
      </c>
      <c r="K100" s="27">
        <f>Source!O45</f>
        <v>-87297.58</v>
      </c>
      <c r="L100" s="28"/>
      <c r="S100">
        <f>ROUND((Source!FX45/100)*((ROUND(Source!AF45*Source!I45, 2)+ROUND(Source!AE45*Source!I45, 2))), 2)</f>
        <v>0</v>
      </c>
      <c r="T100">
        <f>Source!X45</f>
        <v>0</v>
      </c>
      <c r="U100">
        <f>ROUND((Source!FY45/100)*((ROUND(Source!AF45*Source!I45, 2)+ROUND(Source!AE45*Source!I45, 2))), 2)</f>
        <v>0</v>
      </c>
      <c r="V100">
        <f>Source!Y45</f>
        <v>0</v>
      </c>
      <c r="W100">
        <f>IF(Source!BI45&lt;=1,H100, 0)</f>
        <v>-34100.620000000003</v>
      </c>
      <c r="X100">
        <f>IF(Source!BI45=2,H100, 0)</f>
        <v>0</v>
      </c>
      <c r="Y100">
        <f>IF(Source!BI45=3,H100, 0)</f>
        <v>0</v>
      </c>
      <c r="Z100">
        <f>IF(Source!BI45=4,H100, 0)</f>
        <v>0</v>
      </c>
    </row>
    <row r="101" spans="1:26" ht="125.25">
      <c r="A101" s="44" t="str">
        <f>Source!E46</f>
        <v>10,3</v>
      </c>
      <c r="B101" s="45" t="str">
        <f>Source!F46</f>
        <v>Прайс</v>
      </c>
      <c r="C101" s="45" t="s">
        <v>434</v>
      </c>
      <c r="D101" s="31" t="str">
        <f>Source!DW46</f>
        <v>кг</v>
      </c>
      <c r="E101" s="32">
        <f>Source!I46</f>
        <v>17593.400000000001</v>
      </c>
      <c r="F101" s="33">
        <f>Source!AL46+Source!AM46+Source!AO46</f>
        <v>453.82</v>
      </c>
      <c r="G101" s="34" t="s">
        <v>6</v>
      </c>
      <c r="H101" s="35">
        <f>ROUND(Source!AC46*Source!I46, 2)+ROUND(Source!AD46*Source!I46, 2)+ROUND(Source!AF46*Source!I46, 2)</f>
        <v>7984236.79</v>
      </c>
      <c r="I101" s="36"/>
      <c r="J101" s="36">
        <f>IF(Source!BC46&lt;&gt; 0, Source!BC46, 1)</f>
        <v>1</v>
      </c>
      <c r="K101" s="35">
        <f>Source!O46</f>
        <v>7984236.79</v>
      </c>
      <c r="L101" s="37"/>
      <c r="S101">
        <f>ROUND((Source!FX46/100)*((ROUND(Source!AF46*Source!I46, 2)+ROUND(Source!AE46*Source!I46, 2))), 2)</f>
        <v>0</v>
      </c>
      <c r="T101">
        <f>Source!X46</f>
        <v>0</v>
      </c>
      <c r="U101">
        <f>ROUND((Source!FY46/100)*((ROUND(Source!AF46*Source!I46, 2)+ROUND(Source!AE46*Source!I46, 2))), 2)</f>
        <v>0</v>
      </c>
      <c r="V101">
        <f>Source!Y46</f>
        <v>0</v>
      </c>
      <c r="W101">
        <f>IF(Source!BI46&lt;=1,H101, 0)</f>
        <v>7984236.79</v>
      </c>
      <c r="X101">
        <f>IF(Source!BI46=2,H101, 0)</f>
        <v>0</v>
      </c>
      <c r="Y101">
        <f>IF(Source!BI46=3,H101, 0)</f>
        <v>0</v>
      </c>
      <c r="Z101">
        <f>IF(Source!BI46=4,H101, 0)</f>
        <v>0</v>
      </c>
    </row>
    <row r="102" spans="1:26" ht="15">
      <c r="G102" s="79">
        <f>H92+H93+H95+H96+H97+SUM(H99:H101)</f>
        <v>8011405.0099999998</v>
      </c>
      <c r="H102" s="79"/>
      <c r="J102" s="79">
        <f>K92+K93+K95+K96+K97+SUM(K99:K101)</f>
        <v>8388135.2699999996</v>
      </c>
      <c r="K102" s="79"/>
      <c r="L102" s="38">
        <f>Source!U43</f>
        <v>589.13099299999999</v>
      </c>
      <c r="O102" s="18">
        <f>G102</f>
        <v>8011405.0099999998</v>
      </c>
      <c r="P102" s="18">
        <f>J102</f>
        <v>8388135.2699999996</v>
      </c>
      <c r="Q102" s="18">
        <f>L102</f>
        <v>589.13099299999999</v>
      </c>
      <c r="W102">
        <f>IF(Source!BI43&lt;=1,H92+H93+H95+H96+H97, 0)</f>
        <v>101077.96999999999</v>
      </c>
      <c r="X102">
        <f>IF(Source!BI43=2,H92+H93+H95+H96+H97, 0)</f>
        <v>0</v>
      </c>
      <c r="Y102">
        <f>IF(Source!BI43=3,H92+H93+H95+H96+H97, 0)</f>
        <v>0</v>
      </c>
      <c r="Z102">
        <f>IF(Source!BI43=4,H92+H93+H95+H96+H97, 0)</f>
        <v>0</v>
      </c>
    </row>
    <row r="103" spans="1:26" ht="57">
      <c r="A103" s="42" t="str">
        <f>Source!E47</f>
        <v>11</v>
      </c>
      <c r="B103" s="43" t="s">
        <v>432</v>
      </c>
      <c r="C103" s="43" t="str">
        <f>Source!G47</f>
        <v>Изоляция плоских и криволинейных поверхностей защитой от ультрафиолета  толщиной 0,3 мм (прим.)</v>
      </c>
      <c r="D103" s="24" t="str">
        <f>Source!DW47</f>
        <v>м3</v>
      </c>
      <c r="E103" s="21">
        <f>Source!I47</f>
        <v>2.39</v>
      </c>
      <c r="F103" s="25">
        <f>Source!AL47+Source!AM47+Source!AO47</f>
        <v>5604.43</v>
      </c>
      <c r="G103" s="26"/>
      <c r="H103" s="27"/>
      <c r="I103" s="26" t="str">
        <f>Source!BO47</f>
        <v>26-01-021-01</v>
      </c>
      <c r="J103" s="26"/>
      <c r="K103" s="27"/>
      <c r="L103" s="28"/>
      <c r="S103">
        <f>ROUND((Source!FX47/100)*((ROUND(Source!AF47*Source!I47, 2)+ROUND(Source!AE47*Source!I47, 2))), 2)</f>
        <v>885.08</v>
      </c>
      <c r="T103">
        <f>Source!X47</f>
        <v>19477.490000000002</v>
      </c>
      <c r="U103">
        <f>ROUND((Source!FY47/100)*((ROUND(Source!AF47*Source!I47, 2)+ROUND(Source!AE47*Source!I47, 2))), 2)</f>
        <v>526.62</v>
      </c>
      <c r="V103">
        <f>Source!Y47</f>
        <v>10999.05</v>
      </c>
    </row>
    <row r="104" spans="1:26" ht="14.25">
      <c r="A104" s="42"/>
      <c r="B104" s="43"/>
      <c r="C104" s="43" t="s">
        <v>421</v>
      </c>
      <c r="D104" s="24"/>
      <c r="E104" s="21"/>
      <c r="F104" s="25">
        <f>Source!AO47</f>
        <v>317.74</v>
      </c>
      <c r="G104" s="26" t="str">
        <f>Source!DG47</f>
        <v>)*1,15</v>
      </c>
      <c r="H104" s="27">
        <f>ROUND(Source!AF47*Source!I47, 2)</f>
        <v>873.31</v>
      </c>
      <c r="I104" s="26"/>
      <c r="J104" s="26">
        <f>IF(Source!BA47&lt;&gt; 0, Source!BA47, 1)</f>
        <v>25.89</v>
      </c>
      <c r="K104" s="27">
        <f>Source!S47</f>
        <v>22609.95</v>
      </c>
      <c r="L104" s="28"/>
      <c r="R104">
        <f>H104</f>
        <v>873.31</v>
      </c>
    </row>
    <row r="105" spans="1:26" ht="14.25">
      <c r="A105" s="42"/>
      <c r="B105" s="43"/>
      <c r="C105" s="43" t="s">
        <v>189</v>
      </c>
      <c r="D105" s="24"/>
      <c r="E105" s="21"/>
      <c r="F105" s="25">
        <f>Source!AM47</f>
        <v>307.93</v>
      </c>
      <c r="G105" s="26" t="str">
        <f>Source!DE47</f>
        <v>)*1,25</v>
      </c>
      <c r="H105" s="27">
        <f>ROUND(Source!AD47*Source!I47, 2)</f>
        <v>919.94</v>
      </c>
      <c r="I105" s="26"/>
      <c r="J105" s="26">
        <f>IF(Source!BB47&lt;&gt; 0, Source!BB47, 1)</f>
        <v>3.97</v>
      </c>
      <c r="K105" s="27">
        <f>Source!Q47</f>
        <v>3652.17</v>
      </c>
      <c r="L105" s="28"/>
    </row>
    <row r="106" spans="1:26" ht="14.25">
      <c r="A106" s="42"/>
      <c r="B106" s="43"/>
      <c r="C106" s="43" t="s">
        <v>427</v>
      </c>
      <c r="D106" s="24"/>
      <c r="E106" s="21"/>
      <c r="F106" s="25">
        <f>Source!AN47</f>
        <v>3.94</v>
      </c>
      <c r="G106" s="26" t="str">
        <f>Source!DF47</f>
        <v>)*1,25</v>
      </c>
      <c r="H106" s="40">
        <f>ROUND(Source!AE47*Source!I47, 2)</f>
        <v>11.77</v>
      </c>
      <c r="I106" s="26"/>
      <c r="J106" s="26">
        <f>IF(Source!BS47&lt;&gt; 0, Source!BS47, 1)</f>
        <v>25.89</v>
      </c>
      <c r="K106" s="40">
        <f>Source!R47</f>
        <v>304.74</v>
      </c>
      <c r="L106" s="28"/>
      <c r="R106">
        <f>H106</f>
        <v>11.77</v>
      </c>
    </row>
    <row r="107" spans="1:26" ht="14.25">
      <c r="A107" s="42"/>
      <c r="B107" s="43"/>
      <c r="C107" s="43" t="s">
        <v>428</v>
      </c>
      <c r="D107" s="24"/>
      <c r="E107" s="21"/>
      <c r="F107" s="25">
        <f>Source!AL47</f>
        <v>4978.76</v>
      </c>
      <c r="G107" s="26" t="str">
        <f>Source!DD47</f>
        <v/>
      </c>
      <c r="H107" s="27">
        <f>ROUND(Source!AC47*Source!I47, 2)</f>
        <v>11899.24</v>
      </c>
      <c r="I107" s="26"/>
      <c r="J107" s="26">
        <f>IF(Source!BC47&lt;&gt; 0, Source!BC47, 1)</f>
        <v>2.7</v>
      </c>
      <c r="K107" s="27">
        <f>Source!P47</f>
        <v>32127.94</v>
      </c>
      <c r="L107" s="28"/>
    </row>
    <row r="108" spans="1:26" ht="14.25">
      <c r="A108" s="42"/>
      <c r="B108" s="43"/>
      <c r="C108" s="43" t="s">
        <v>422</v>
      </c>
      <c r="D108" s="24" t="s">
        <v>423</v>
      </c>
      <c r="E108" s="21">
        <f>Source!BZ47</f>
        <v>100</v>
      </c>
      <c r="F108" s="46"/>
      <c r="G108" s="26"/>
      <c r="H108" s="27">
        <f>SUM(S103:S113)</f>
        <v>885.08</v>
      </c>
      <c r="I108" s="29" t="str">
        <f>CONCATENATE(Source!FX47, Source!FV47, "=")</f>
        <v>100*0,85=</v>
      </c>
      <c r="J108" s="23">
        <f>Source!AT47</f>
        <v>85</v>
      </c>
      <c r="K108" s="27">
        <f>SUM(T103:T113)</f>
        <v>19477.490000000002</v>
      </c>
      <c r="L108" s="28"/>
    </row>
    <row r="109" spans="1:26" ht="14.25">
      <c r="A109" s="42"/>
      <c r="B109" s="43"/>
      <c r="C109" s="43" t="s">
        <v>424</v>
      </c>
      <c r="D109" s="24" t="s">
        <v>423</v>
      </c>
      <c r="E109" s="21">
        <f>Source!CA47</f>
        <v>70</v>
      </c>
      <c r="F109" s="81" t="str">
        <f>CONCATENATE(" )", Source!DM47, Source!FU47, "=", Source!FY47)</f>
        <v xml:space="preserve"> )*0,85=59,5</v>
      </c>
      <c r="G109" s="82"/>
      <c r="H109" s="27">
        <f>SUM(U103:U113)</f>
        <v>526.62</v>
      </c>
      <c r="I109" s="29" t="str">
        <f>CONCATENATE(Source!FY47, Source!FW47, "=")</f>
        <v>59,5*0,8=</v>
      </c>
      <c r="J109" s="23">
        <f>Source!AU47</f>
        <v>48</v>
      </c>
      <c r="K109" s="27">
        <f>SUM(V103:V113)</f>
        <v>10999.05</v>
      </c>
      <c r="L109" s="28"/>
    </row>
    <row r="110" spans="1:26" ht="14.25">
      <c r="A110" s="42"/>
      <c r="B110" s="43"/>
      <c r="C110" s="43" t="s">
        <v>425</v>
      </c>
      <c r="D110" s="24" t="s">
        <v>426</v>
      </c>
      <c r="E110" s="21">
        <f>Source!AQ47</f>
        <v>32.03</v>
      </c>
      <c r="F110" s="25"/>
      <c r="G110" s="26" t="str">
        <f>Source!DI47</f>
        <v>)*1,15</v>
      </c>
      <c r="H110" s="27"/>
      <c r="I110" s="26"/>
      <c r="J110" s="26"/>
      <c r="K110" s="27"/>
      <c r="L110" s="30">
        <f>Source!U47</f>
        <v>88.034454999999994</v>
      </c>
    </row>
    <row r="111" spans="1:26" ht="28.5">
      <c r="A111" s="42" t="str">
        <f>Source!E48</f>
        <v>11,1</v>
      </c>
      <c r="B111" s="43" t="str">
        <f>Source!F48</f>
        <v>12.2.03.05-0001</v>
      </c>
      <c r="C111" s="43" t="str">
        <f>Source!G48</f>
        <v>Компонент А системы жидких компонентов для напыления ППУ</v>
      </c>
      <c r="D111" s="24" t="str">
        <f>Source!DW48</f>
        <v>кг</v>
      </c>
      <c r="E111" s="21">
        <f>Source!I48</f>
        <v>-102.38760000000002</v>
      </c>
      <c r="F111" s="25">
        <f>Source!AL48+Source!AM48+Source!AO48</f>
        <v>58.1</v>
      </c>
      <c r="G111" s="41" t="s">
        <v>6</v>
      </c>
      <c r="H111" s="27">
        <f>ROUND(Source!AC48*Source!I48, 2)+ROUND(Source!AD48*Source!I48, 2)+ROUND(Source!AF48*Source!I48, 2)</f>
        <v>-5948.72</v>
      </c>
      <c r="I111" s="26"/>
      <c r="J111" s="26">
        <f>IF(Source!BC48&lt;&gt; 0, Source!BC48, 1)</f>
        <v>2.6</v>
      </c>
      <c r="K111" s="27">
        <f>Source!O48</f>
        <v>-15466.67</v>
      </c>
      <c r="L111" s="28"/>
      <c r="S111">
        <f>ROUND((Source!FX48/100)*((ROUND(Source!AF48*Source!I48, 2)+ROUND(Source!AE48*Source!I48, 2))), 2)</f>
        <v>0</v>
      </c>
      <c r="T111">
        <f>Source!X48</f>
        <v>0</v>
      </c>
      <c r="U111">
        <f>ROUND((Source!FY48/100)*((ROUND(Source!AF48*Source!I48, 2)+ROUND(Source!AE48*Source!I48, 2))), 2)</f>
        <v>0</v>
      </c>
      <c r="V111">
        <f>Source!Y48</f>
        <v>0</v>
      </c>
      <c r="W111">
        <f>IF(Source!BI48&lt;=1,H111, 0)</f>
        <v>-5948.72</v>
      </c>
      <c r="X111">
        <f>IF(Source!BI48=2,H111, 0)</f>
        <v>0</v>
      </c>
      <c r="Y111">
        <f>IF(Source!BI48=3,H111, 0)</f>
        <v>0</v>
      </c>
      <c r="Z111">
        <f>IF(Source!BI48=4,H111, 0)</f>
        <v>0</v>
      </c>
    </row>
    <row r="112" spans="1:26" ht="28.5">
      <c r="A112" s="42" t="str">
        <f>Source!E49</f>
        <v>11,2</v>
      </c>
      <c r="B112" s="43" t="str">
        <f>Source!F49</f>
        <v>12.2.03.05-0003</v>
      </c>
      <c r="C112" s="43" t="str">
        <f>Source!G49</f>
        <v>Компонент Б системы жидких компонентов для напыления ППУ</v>
      </c>
      <c r="D112" s="24" t="str">
        <f>Source!DW49</f>
        <v>кг</v>
      </c>
      <c r="E112" s="21">
        <f>Source!I49</f>
        <v>-98.372399999999999</v>
      </c>
      <c r="F112" s="25">
        <f>Source!AL49+Source!AM49+Source!AO49</f>
        <v>51.8</v>
      </c>
      <c r="G112" s="41" t="s">
        <v>6</v>
      </c>
      <c r="H112" s="27">
        <f>ROUND(Source!AC49*Source!I49, 2)+ROUND(Source!AD49*Source!I49, 2)+ROUND(Source!AF49*Source!I49, 2)</f>
        <v>-5095.6899999999996</v>
      </c>
      <c r="I112" s="26"/>
      <c r="J112" s="26">
        <f>IF(Source!BC49&lt;&gt; 0, Source!BC49, 1)</f>
        <v>2.56</v>
      </c>
      <c r="K112" s="27">
        <f>Source!O49</f>
        <v>-13044.97</v>
      </c>
      <c r="L112" s="28"/>
      <c r="S112">
        <f>ROUND((Source!FX49/100)*((ROUND(Source!AF49*Source!I49, 2)+ROUND(Source!AE49*Source!I49, 2))), 2)</f>
        <v>0</v>
      </c>
      <c r="T112">
        <f>Source!X49</f>
        <v>0</v>
      </c>
      <c r="U112">
        <f>ROUND((Source!FY49/100)*((ROUND(Source!AF49*Source!I49, 2)+ROUND(Source!AE49*Source!I49, 2))), 2)</f>
        <v>0</v>
      </c>
      <c r="V112">
        <f>Source!Y49</f>
        <v>0</v>
      </c>
      <c r="W112">
        <f>IF(Source!BI49&lt;=1,H112, 0)</f>
        <v>-5095.6899999999996</v>
      </c>
      <c r="X112">
        <f>IF(Source!BI49=2,H112, 0)</f>
        <v>0</v>
      </c>
      <c r="Y112">
        <f>IF(Source!BI49=3,H112, 0)</f>
        <v>0</v>
      </c>
      <c r="Z112">
        <f>IF(Source!BI49=4,H112, 0)</f>
        <v>0</v>
      </c>
    </row>
    <row r="113" spans="1:26" ht="54">
      <c r="A113" s="44" t="str">
        <f>Source!E50</f>
        <v>11,3</v>
      </c>
      <c r="B113" s="45" t="str">
        <f>Source!F50</f>
        <v>Прайс</v>
      </c>
      <c r="C113" s="45" t="s">
        <v>435</v>
      </c>
      <c r="D113" s="31" t="str">
        <f>Source!DW50</f>
        <v>кг</v>
      </c>
      <c r="E113" s="32">
        <f>Source!I50</f>
        <v>2632.7399999999993</v>
      </c>
      <c r="F113" s="33">
        <f>Source!AL50+Source!AM50+Source!AO50</f>
        <v>656.95</v>
      </c>
      <c r="G113" s="34" t="s">
        <v>6</v>
      </c>
      <c r="H113" s="35">
        <f>ROUND(Source!AC50*Source!I50, 2)+ROUND(Source!AD50*Source!I50, 2)+ROUND(Source!AF50*Source!I50, 2)</f>
        <v>1729578.54</v>
      </c>
      <c r="I113" s="36"/>
      <c r="J113" s="36">
        <f>IF(Source!BC50&lt;&gt; 0, Source!BC50, 1)</f>
        <v>1</v>
      </c>
      <c r="K113" s="35">
        <f>Source!O50</f>
        <v>1729578.54</v>
      </c>
      <c r="L113" s="37"/>
      <c r="S113">
        <f>ROUND((Source!FX50/100)*((ROUND(Source!AF50*Source!I50, 2)+ROUND(Source!AE50*Source!I50, 2))), 2)</f>
        <v>0</v>
      </c>
      <c r="T113">
        <f>Source!X50</f>
        <v>0</v>
      </c>
      <c r="U113">
        <f>ROUND((Source!FY50/100)*((ROUND(Source!AF50*Source!I50, 2)+ROUND(Source!AE50*Source!I50, 2))), 2)</f>
        <v>0</v>
      </c>
      <c r="V113">
        <f>Source!Y50</f>
        <v>0</v>
      </c>
      <c r="W113">
        <f>IF(Source!BI50&lt;=1,H113, 0)</f>
        <v>1729578.54</v>
      </c>
      <c r="X113">
        <f>IF(Source!BI50=2,H113, 0)</f>
        <v>0</v>
      </c>
      <c r="Y113">
        <f>IF(Source!BI50=3,H113, 0)</f>
        <v>0</v>
      </c>
      <c r="Z113">
        <f>IF(Source!BI50=4,H113, 0)</f>
        <v>0</v>
      </c>
    </row>
    <row r="114" spans="1:26" ht="15">
      <c r="G114" s="79">
        <f>H104+H105+H107+H108+H109+SUM(H111:H113)</f>
        <v>1733638.32</v>
      </c>
      <c r="H114" s="79"/>
      <c r="J114" s="79">
        <f>K104+K105+K107+K108+K109+SUM(K111:K113)</f>
        <v>1789933.5000000002</v>
      </c>
      <c r="K114" s="79"/>
      <c r="L114" s="38">
        <f>Source!U47</f>
        <v>88.034454999999994</v>
      </c>
      <c r="O114" s="18">
        <f>G114</f>
        <v>1733638.32</v>
      </c>
      <c r="P114" s="18">
        <f>J114</f>
        <v>1789933.5000000002</v>
      </c>
      <c r="Q114" s="18">
        <f>L114</f>
        <v>88.034454999999994</v>
      </c>
      <c r="W114">
        <f>IF(Source!BI47&lt;=1,H104+H105+H107+H108+H109, 0)</f>
        <v>15104.19</v>
      </c>
      <c r="X114">
        <f>IF(Source!BI47=2,H104+H105+H107+H108+H109, 0)</f>
        <v>0</v>
      </c>
      <c r="Y114">
        <f>IF(Source!BI47=3,H104+H105+H107+H108+H109, 0)</f>
        <v>0</v>
      </c>
      <c r="Z114">
        <f>IF(Source!BI47=4,H104+H105+H107+H108+H109, 0)</f>
        <v>0</v>
      </c>
    </row>
    <row r="115" spans="1:26" ht="54">
      <c r="A115" s="42" t="str">
        <f>Source!E51</f>
        <v>12</v>
      </c>
      <c r="B115" s="43" t="s">
        <v>436</v>
      </c>
      <c r="C115" s="43" t="str">
        <f>Source!G51</f>
        <v>Устройство металлической водосточной системы воронок</v>
      </c>
      <c r="D115" s="24" t="str">
        <f>Source!DW51</f>
        <v>шт.</v>
      </c>
      <c r="E115" s="21">
        <f>Source!I51</f>
        <v>16</v>
      </c>
      <c r="F115" s="25">
        <f>Source!AL51+Source!AM51+Source!AO51</f>
        <v>1.73</v>
      </c>
      <c r="G115" s="26"/>
      <c r="H115" s="27"/>
      <c r="I115" s="26" t="str">
        <f>Source!BO51</f>
        <v>12-01-035-02</v>
      </c>
      <c r="J115" s="26"/>
      <c r="K115" s="27"/>
      <c r="L115" s="28"/>
      <c r="S115">
        <f>ROUND((Source!FX51/100)*((ROUND(Source!AF51*Source!I51, 2)+ROUND(Source!AE51*Source!I51, 2))), 2)</f>
        <v>38.200000000000003</v>
      </c>
      <c r="T115">
        <f>Source!X51</f>
        <v>840.61</v>
      </c>
      <c r="U115">
        <f>ROUND((Source!FY51/100)*((ROUND(Source!AF51*Source!I51, 2)+ROUND(Source!AE51*Source!I51, 2))), 2)</f>
        <v>17.59</v>
      </c>
      <c r="V115">
        <f>Source!Y51</f>
        <v>362.62</v>
      </c>
    </row>
    <row r="116" spans="1:26" ht="14.25">
      <c r="A116" s="42"/>
      <c r="B116" s="43"/>
      <c r="C116" s="43" t="s">
        <v>421</v>
      </c>
      <c r="D116" s="24"/>
      <c r="E116" s="21"/>
      <c r="F116" s="25">
        <f>Source!AO51</f>
        <v>1.73</v>
      </c>
      <c r="G116" s="26" t="str">
        <f>Source!DG51</f>
        <v>)*1,15</v>
      </c>
      <c r="H116" s="27">
        <f>ROUND(Source!AF51*Source!I51, 2)</f>
        <v>31.83</v>
      </c>
      <c r="I116" s="26"/>
      <c r="J116" s="26">
        <f>IF(Source!BA51&lt;&gt; 0, Source!BA51, 1)</f>
        <v>25.89</v>
      </c>
      <c r="K116" s="27">
        <f>Source!S51</f>
        <v>824.13</v>
      </c>
      <c r="L116" s="28"/>
      <c r="R116">
        <f>H116</f>
        <v>31.83</v>
      </c>
    </row>
    <row r="117" spans="1:26" ht="14.25">
      <c r="A117" s="42"/>
      <c r="B117" s="43"/>
      <c r="C117" s="43" t="s">
        <v>422</v>
      </c>
      <c r="D117" s="24" t="s">
        <v>423</v>
      </c>
      <c r="E117" s="21">
        <f>Source!BZ51</f>
        <v>120</v>
      </c>
      <c r="F117" s="46"/>
      <c r="G117" s="26"/>
      <c r="H117" s="27">
        <f>SUM(S115:S120)</f>
        <v>38.200000000000003</v>
      </c>
      <c r="I117" s="29" t="str">
        <f>CONCATENATE(Source!FX51, Source!FV51, "=")</f>
        <v>120*0,85=</v>
      </c>
      <c r="J117" s="23">
        <f>Source!AT51</f>
        <v>102</v>
      </c>
      <c r="K117" s="27">
        <f>SUM(T115:T120)</f>
        <v>840.61</v>
      </c>
      <c r="L117" s="28"/>
    </row>
    <row r="118" spans="1:26" ht="14.25">
      <c r="A118" s="42"/>
      <c r="B118" s="43"/>
      <c r="C118" s="43" t="s">
        <v>424</v>
      </c>
      <c r="D118" s="24" t="s">
        <v>423</v>
      </c>
      <c r="E118" s="21">
        <f>Source!CA51</f>
        <v>65</v>
      </c>
      <c r="F118" s="81" t="str">
        <f>CONCATENATE(" )", Source!DM51, Source!FU51, "=", Source!FY51)</f>
        <v xml:space="preserve"> )*0,85=55,25</v>
      </c>
      <c r="G118" s="82"/>
      <c r="H118" s="27">
        <f>SUM(U115:U120)</f>
        <v>17.59</v>
      </c>
      <c r="I118" s="29" t="str">
        <f>CONCATENATE(Source!FY51, Source!FW51, "=")</f>
        <v>55,25*0,8=</v>
      </c>
      <c r="J118" s="23">
        <f>Source!AU51</f>
        <v>44</v>
      </c>
      <c r="K118" s="27">
        <f>SUM(V115:V120)</f>
        <v>362.62</v>
      </c>
      <c r="L118" s="28"/>
    </row>
    <row r="119" spans="1:26" ht="14.25">
      <c r="A119" s="42"/>
      <c r="B119" s="43"/>
      <c r="C119" s="43" t="s">
        <v>425</v>
      </c>
      <c r="D119" s="24" t="s">
        <v>426</v>
      </c>
      <c r="E119" s="21">
        <f>Source!AQ51</f>
        <v>0.18</v>
      </c>
      <c r="F119" s="25"/>
      <c r="G119" s="26" t="str">
        <f>Source!DI51</f>
        <v>)*1,15</v>
      </c>
      <c r="H119" s="27"/>
      <c r="I119" s="26"/>
      <c r="J119" s="26"/>
      <c r="K119" s="27"/>
      <c r="L119" s="30">
        <f>Source!U51</f>
        <v>3.3119999999999998</v>
      </c>
    </row>
    <row r="120" spans="1:26" ht="28.5">
      <c r="A120" s="44" t="str">
        <f>Source!E52</f>
        <v>12,1</v>
      </c>
      <c r="B120" s="45" t="str">
        <f>Source!F52</f>
        <v>08.1.02.01-0002</v>
      </c>
      <c r="C120" s="45" t="str">
        <f>Source!G52</f>
        <v>Воронка водосточная из оцинкованной стали</v>
      </c>
      <c r="D120" s="31" t="str">
        <f>Source!DW52</f>
        <v>шт.</v>
      </c>
      <c r="E120" s="32">
        <f>Source!I52</f>
        <v>16</v>
      </c>
      <c r="F120" s="33">
        <f>Source!AL52+Source!AM52+Source!AO52</f>
        <v>67.8</v>
      </c>
      <c r="G120" s="34" t="s">
        <v>6</v>
      </c>
      <c r="H120" s="35">
        <f>ROUND(Source!AC52*Source!I52, 2)+ROUND(Source!AD52*Source!I52, 2)+ROUND(Source!AF52*Source!I52, 2)</f>
        <v>1084.8</v>
      </c>
      <c r="I120" s="36"/>
      <c r="J120" s="36">
        <f>IF(Source!BC52&lt;&gt; 0, Source!BC52, 1)</f>
        <v>4.57</v>
      </c>
      <c r="K120" s="35">
        <f>Source!O52</f>
        <v>4957.54</v>
      </c>
      <c r="L120" s="37"/>
      <c r="S120">
        <f>ROUND((Source!FX52/100)*((ROUND(Source!AF52*Source!I52, 2)+ROUND(Source!AE52*Source!I52, 2))), 2)</f>
        <v>0</v>
      </c>
      <c r="T120">
        <f>Source!X52</f>
        <v>0</v>
      </c>
      <c r="U120">
        <f>ROUND((Source!FY52/100)*((ROUND(Source!AF52*Source!I52, 2)+ROUND(Source!AE52*Source!I52, 2))), 2)</f>
        <v>0</v>
      </c>
      <c r="V120">
        <f>Source!Y52</f>
        <v>0</v>
      </c>
      <c r="W120">
        <f>IF(Source!BI52&lt;=1,H120, 0)</f>
        <v>1084.8</v>
      </c>
      <c r="X120">
        <f>IF(Source!BI52=2,H120, 0)</f>
        <v>0</v>
      </c>
      <c r="Y120">
        <f>IF(Source!BI52=3,H120, 0)</f>
        <v>0</v>
      </c>
      <c r="Z120">
        <f>IF(Source!BI52=4,H120, 0)</f>
        <v>0</v>
      </c>
    </row>
    <row r="121" spans="1:26" ht="15">
      <c r="G121" s="79">
        <f>H116+H117+H118+SUM(H120:H120)</f>
        <v>1172.42</v>
      </c>
      <c r="H121" s="79"/>
      <c r="J121" s="79">
        <f>K116+K117+K118+SUM(K120:K120)</f>
        <v>6984.9</v>
      </c>
      <c r="K121" s="79"/>
      <c r="L121" s="38">
        <f>Source!U51</f>
        <v>3.3119999999999998</v>
      </c>
      <c r="O121" s="18">
        <f>G121</f>
        <v>1172.42</v>
      </c>
      <c r="P121" s="18">
        <f>J121</f>
        <v>6984.9</v>
      </c>
      <c r="Q121" s="18">
        <f>L121</f>
        <v>3.3119999999999998</v>
      </c>
      <c r="W121">
        <f>IF(Source!BI51&lt;=1,H116+H117+H118, 0)</f>
        <v>87.62</v>
      </c>
      <c r="X121">
        <f>IF(Source!BI51=2,H116+H117+H118, 0)</f>
        <v>0</v>
      </c>
      <c r="Y121">
        <f>IF(Source!BI51=3,H116+H117+H118, 0)</f>
        <v>0</v>
      </c>
      <c r="Z121">
        <f>IF(Source!BI51=4,H116+H117+H118, 0)</f>
        <v>0</v>
      </c>
    </row>
    <row r="122" spans="1:26" ht="57">
      <c r="A122" s="42" t="str">
        <f>Source!E53</f>
        <v>13</v>
      </c>
      <c r="B122" s="43" t="s">
        <v>437</v>
      </c>
      <c r="C122" s="43" t="str">
        <f>Source!G53</f>
        <v>Устройство мелких покрытий (брандмауэры, парапеты, свесы и т.п.) из листовой оцинкованной стали (парапеты)</v>
      </c>
      <c r="D122" s="24" t="str">
        <f>Source!DW53</f>
        <v>100 м2</v>
      </c>
      <c r="E122" s="21">
        <f>Source!I53</f>
        <v>2.16</v>
      </c>
      <c r="F122" s="25">
        <f>Source!AL53+Source!AM53+Source!AO53</f>
        <v>9874.2199999999993</v>
      </c>
      <c r="G122" s="26"/>
      <c r="H122" s="27"/>
      <c r="I122" s="26" t="str">
        <f>Source!BO53</f>
        <v>12-01-010-01</v>
      </c>
      <c r="J122" s="26"/>
      <c r="K122" s="27"/>
      <c r="L122" s="28"/>
      <c r="S122">
        <f>ROUND((Source!FX53/100)*((ROUND(Source!AF53*Source!I53, 2)+ROUND(Source!AE53*Source!I53, 2))), 2)</f>
        <v>2878.19</v>
      </c>
      <c r="T122">
        <f>Source!X53</f>
        <v>63338.82</v>
      </c>
      <c r="U122">
        <f>ROUND((Source!FY53/100)*((ROUND(Source!AF53*Source!I53, 2)+ROUND(Source!AE53*Source!I53, 2))), 2)</f>
        <v>1325.17</v>
      </c>
      <c r="V122">
        <f>Source!Y53</f>
        <v>27322.63</v>
      </c>
    </row>
    <row r="123" spans="1:26" ht="14.25">
      <c r="A123" s="42"/>
      <c r="B123" s="43"/>
      <c r="C123" s="43" t="s">
        <v>421</v>
      </c>
      <c r="D123" s="24"/>
      <c r="E123" s="21"/>
      <c r="F123" s="25">
        <f>Source!AO53</f>
        <v>961.76</v>
      </c>
      <c r="G123" s="26" t="str">
        <f>Source!DG53</f>
        <v>)*1,15</v>
      </c>
      <c r="H123" s="27">
        <f>ROUND(Source!AF53*Source!I53, 2)</f>
        <v>2389.0100000000002</v>
      </c>
      <c r="I123" s="26"/>
      <c r="J123" s="26">
        <f>IF(Source!BA53&lt;&gt; 0, Source!BA53, 1)</f>
        <v>25.89</v>
      </c>
      <c r="K123" s="27">
        <f>Source!S53</f>
        <v>61851.519999999997</v>
      </c>
      <c r="L123" s="28"/>
      <c r="R123">
        <f>H123</f>
        <v>2389.0100000000002</v>
      </c>
    </row>
    <row r="124" spans="1:26" ht="14.25">
      <c r="A124" s="42"/>
      <c r="B124" s="43"/>
      <c r="C124" s="43" t="s">
        <v>189</v>
      </c>
      <c r="D124" s="24"/>
      <c r="E124" s="21"/>
      <c r="F124" s="25">
        <f>Source!AM53</f>
        <v>21.88</v>
      </c>
      <c r="G124" s="26" t="str">
        <f>Source!DE53</f>
        <v>)*1,25</v>
      </c>
      <c r="H124" s="27">
        <f>ROUND(Source!AD53*Source!I53, 2)</f>
        <v>59.08</v>
      </c>
      <c r="I124" s="26"/>
      <c r="J124" s="26">
        <f>IF(Source!BB53&lt;&gt; 0, Source!BB53, 1)</f>
        <v>8</v>
      </c>
      <c r="K124" s="27">
        <f>Source!Q53</f>
        <v>472.61</v>
      </c>
      <c r="L124" s="28"/>
    </row>
    <row r="125" spans="1:26" ht="14.25">
      <c r="A125" s="42"/>
      <c r="B125" s="43"/>
      <c r="C125" s="43" t="s">
        <v>427</v>
      </c>
      <c r="D125" s="24"/>
      <c r="E125" s="21"/>
      <c r="F125" s="25">
        <f>Source!AN53</f>
        <v>3.51</v>
      </c>
      <c r="G125" s="26" t="str">
        <f>Source!DF53</f>
        <v>)*1,25</v>
      </c>
      <c r="H125" s="40">
        <f>ROUND(Source!AE53*Source!I53, 2)</f>
        <v>9.48</v>
      </c>
      <c r="I125" s="26"/>
      <c r="J125" s="26">
        <f>IF(Source!BS53&lt;&gt; 0, Source!BS53, 1)</f>
        <v>25.89</v>
      </c>
      <c r="K125" s="40">
        <f>Source!R53</f>
        <v>245.36</v>
      </c>
      <c r="L125" s="28"/>
      <c r="R125">
        <f>H125</f>
        <v>9.48</v>
      </c>
    </row>
    <row r="126" spans="1:26" ht="14.25">
      <c r="A126" s="42"/>
      <c r="B126" s="43"/>
      <c r="C126" s="43" t="s">
        <v>428</v>
      </c>
      <c r="D126" s="24"/>
      <c r="E126" s="21"/>
      <c r="F126" s="25">
        <f>Source!AL53</f>
        <v>8890.58</v>
      </c>
      <c r="G126" s="26" t="str">
        <f>Source!DD53</f>
        <v/>
      </c>
      <c r="H126" s="27">
        <f>ROUND(Source!AC53*Source!I53, 2)</f>
        <v>19203.650000000001</v>
      </c>
      <c r="I126" s="26"/>
      <c r="J126" s="26">
        <f>IF(Source!BC53&lt;&gt; 0, Source!BC53, 1)</f>
        <v>4.57</v>
      </c>
      <c r="K126" s="27">
        <f>Source!P53</f>
        <v>87760.69</v>
      </c>
      <c r="L126" s="28"/>
    </row>
    <row r="127" spans="1:26" ht="14.25">
      <c r="A127" s="42"/>
      <c r="B127" s="43"/>
      <c r="C127" s="43" t="s">
        <v>422</v>
      </c>
      <c r="D127" s="24" t="s">
        <v>423</v>
      </c>
      <c r="E127" s="21">
        <f>Source!BZ53</f>
        <v>120</v>
      </c>
      <c r="F127" s="46"/>
      <c r="G127" s="26"/>
      <c r="H127" s="27">
        <f>SUM(S122:S129)</f>
        <v>2878.19</v>
      </c>
      <c r="I127" s="29" t="str">
        <f>CONCATENATE(Source!FX53, Source!FV53, "=")</f>
        <v>120*0,85=</v>
      </c>
      <c r="J127" s="23">
        <f>Source!AT53</f>
        <v>102</v>
      </c>
      <c r="K127" s="27">
        <f>SUM(T122:T129)</f>
        <v>63338.82</v>
      </c>
      <c r="L127" s="28"/>
    </row>
    <row r="128" spans="1:26" ht="14.25">
      <c r="A128" s="42"/>
      <c r="B128" s="43"/>
      <c r="C128" s="43" t="s">
        <v>424</v>
      </c>
      <c r="D128" s="24" t="s">
        <v>423</v>
      </c>
      <c r="E128" s="21">
        <f>Source!CA53</f>
        <v>65</v>
      </c>
      <c r="F128" s="81" t="str">
        <f>CONCATENATE(" )", Source!DM53, Source!FU53, "=", Source!FY53)</f>
        <v xml:space="preserve"> )*0,85=55,25</v>
      </c>
      <c r="G128" s="82"/>
      <c r="H128" s="27">
        <f>SUM(U122:U129)</f>
        <v>1325.17</v>
      </c>
      <c r="I128" s="29" t="str">
        <f>CONCATENATE(Source!FY53, Source!FW53, "=")</f>
        <v>55,25*0,8=</v>
      </c>
      <c r="J128" s="23">
        <f>Source!AU53</f>
        <v>44</v>
      </c>
      <c r="K128" s="27">
        <f>SUM(V122:V129)</f>
        <v>27322.63</v>
      </c>
      <c r="L128" s="28"/>
    </row>
    <row r="129" spans="1:26" ht="14.25">
      <c r="A129" s="44"/>
      <c r="B129" s="45"/>
      <c r="C129" s="45" t="s">
        <v>425</v>
      </c>
      <c r="D129" s="31" t="s">
        <v>426</v>
      </c>
      <c r="E129" s="32">
        <f>Source!AQ53</f>
        <v>112.75</v>
      </c>
      <c r="F129" s="33"/>
      <c r="G129" s="36" t="str">
        <f>Source!DI53</f>
        <v>)*1,15</v>
      </c>
      <c r="H129" s="35"/>
      <c r="I129" s="36"/>
      <c r="J129" s="36"/>
      <c r="K129" s="35"/>
      <c r="L129" s="39">
        <f>Source!U53</f>
        <v>280.07100000000003</v>
      </c>
    </row>
    <row r="130" spans="1:26" ht="15">
      <c r="G130" s="79">
        <f>H123+H124+H126+H127+H128</f>
        <v>25855.1</v>
      </c>
      <c r="H130" s="79"/>
      <c r="J130" s="79">
        <f>K123+K124+K126+K127+K128</f>
        <v>240746.27000000002</v>
      </c>
      <c r="K130" s="79"/>
      <c r="L130" s="38">
        <f>Source!U53</f>
        <v>280.07100000000003</v>
      </c>
      <c r="O130" s="18">
        <f>G130</f>
        <v>25855.1</v>
      </c>
      <c r="P130" s="18">
        <f>J130</f>
        <v>240746.27000000002</v>
      </c>
      <c r="Q130" s="18">
        <f>L130</f>
        <v>280.07100000000003</v>
      </c>
      <c r="W130">
        <f>IF(Source!BI53&lt;=1,H123+H124+H126+H127+H128, 0)</f>
        <v>25855.1</v>
      </c>
      <c r="X130">
        <f>IF(Source!BI53=2,H123+H124+H126+H127+H128, 0)</f>
        <v>0</v>
      </c>
      <c r="Y130">
        <f>IF(Source!BI53=3,H123+H124+H126+H127+H128, 0)</f>
        <v>0</v>
      </c>
      <c r="Z130">
        <f>IF(Source!BI53=4,H123+H124+H126+H127+H128, 0)</f>
        <v>0</v>
      </c>
    </row>
    <row r="131" spans="1:26" ht="57">
      <c r="A131" s="42" t="str">
        <f>Source!E54</f>
        <v>14</v>
      </c>
      <c r="B131" s="43" t="str">
        <f>Source!F54</f>
        <v>46-08-022-01</v>
      </c>
      <c r="C131" s="43" t="str">
        <f>Source!G54</f>
        <v>Гидроизоляция полиуретановым герметиком без уплотнения пенополиэтиленовым прокладочным шнуром швов по оцинкованному железу</v>
      </c>
      <c r="D131" s="24" t="str">
        <f>Source!DW54</f>
        <v>100 м</v>
      </c>
      <c r="E131" s="21">
        <f>Source!I54</f>
        <v>0.87</v>
      </c>
      <c r="F131" s="25">
        <f>Source!AL54+Source!AM54+Source!AO54</f>
        <v>69.83</v>
      </c>
      <c r="G131" s="26"/>
      <c r="H131" s="27"/>
      <c r="I131" s="26" t="str">
        <f>Source!BO54</f>
        <v>46-08-022-01</v>
      </c>
      <c r="J131" s="26"/>
      <c r="K131" s="27"/>
      <c r="L131" s="28"/>
      <c r="S131">
        <f>ROUND((Source!FX54/100)*((ROUND(Source!AF54*Source!I54, 2)+ROUND(Source!AE54*Source!I54, 2))), 2)</f>
        <v>66.31</v>
      </c>
      <c r="T131">
        <f>Source!X54</f>
        <v>1467.07</v>
      </c>
      <c r="U131">
        <f>ROUND((Source!FY54/100)*((ROUND(Source!AF54*Source!I54, 2)+ROUND(Source!AE54*Source!I54, 2))), 2)</f>
        <v>35.869999999999997</v>
      </c>
      <c r="V131">
        <f>Source!Y54</f>
        <v>749.14</v>
      </c>
    </row>
    <row r="132" spans="1:26" ht="14.25">
      <c r="A132" s="42"/>
      <c r="B132" s="43"/>
      <c r="C132" s="43" t="s">
        <v>421</v>
      </c>
      <c r="D132" s="24"/>
      <c r="E132" s="21"/>
      <c r="F132" s="25">
        <f>Source!AO54</f>
        <v>69.17</v>
      </c>
      <c r="G132" s="26" t="str">
        <f>Source!DG54</f>
        <v/>
      </c>
      <c r="H132" s="27">
        <f>ROUND(Source!AF54*Source!I54, 2)</f>
        <v>60.18</v>
      </c>
      <c r="I132" s="26"/>
      <c r="J132" s="26">
        <f>IF(Source!BA54&lt;&gt; 0, Source!BA54, 1)</f>
        <v>25.89</v>
      </c>
      <c r="K132" s="27">
        <f>Source!S54</f>
        <v>1558.01</v>
      </c>
      <c r="L132" s="28"/>
      <c r="R132">
        <f>H132</f>
        <v>60.18</v>
      </c>
    </row>
    <row r="133" spans="1:26" ht="14.25">
      <c r="A133" s="42"/>
      <c r="B133" s="43"/>
      <c r="C133" s="43" t="s">
        <v>189</v>
      </c>
      <c r="D133" s="24"/>
      <c r="E133" s="21"/>
      <c r="F133" s="25">
        <f>Source!AM54</f>
        <v>0.66</v>
      </c>
      <c r="G133" s="26" t="str">
        <f>Source!DE54</f>
        <v/>
      </c>
      <c r="H133" s="27">
        <f>ROUND(Source!AD54*Source!I54, 2)</f>
        <v>0.56999999999999995</v>
      </c>
      <c r="I133" s="26"/>
      <c r="J133" s="26">
        <f>IF(Source!BB54&lt;&gt; 0, Source!BB54, 1)</f>
        <v>10.54</v>
      </c>
      <c r="K133" s="27">
        <f>Source!Q54</f>
        <v>6.05</v>
      </c>
      <c r="L133" s="28"/>
    </row>
    <row r="134" spans="1:26" ht="14.25">
      <c r="A134" s="42"/>
      <c r="B134" s="43"/>
      <c r="C134" s="43" t="s">
        <v>427</v>
      </c>
      <c r="D134" s="24"/>
      <c r="E134" s="21"/>
      <c r="F134" s="25">
        <f>Source!AN54</f>
        <v>0.12</v>
      </c>
      <c r="G134" s="26" t="str">
        <f>Source!DF54</f>
        <v/>
      </c>
      <c r="H134" s="40">
        <f>ROUND(Source!AE54*Source!I54, 2)</f>
        <v>0.1</v>
      </c>
      <c r="I134" s="26"/>
      <c r="J134" s="26">
        <f>IF(Source!BS54&lt;&gt; 0, Source!BS54, 1)</f>
        <v>25.89</v>
      </c>
      <c r="K134" s="40">
        <f>Source!R54</f>
        <v>2.7</v>
      </c>
      <c r="L134" s="28"/>
      <c r="R134">
        <f>H134</f>
        <v>0.1</v>
      </c>
    </row>
    <row r="135" spans="1:26" ht="14.25">
      <c r="A135" s="42"/>
      <c r="B135" s="43"/>
      <c r="C135" s="43" t="s">
        <v>422</v>
      </c>
      <c r="D135" s="24" t="s">
        <v>423</v>
      </c>
      <c r="E135" s="21">
        <f>Source!BZ54</f>
        <v>110</v>
      </c>
      <c r="F135" s="46"/>
      <c r="G135" s="26"/>
      <c r="H135" s="27">
        <f>SUM(S131:S138)</f>
        <v>66.31</v>
      </c>
      <c r="I135" s="29" t="str">
        <f>CONCATENATE(Source!FX54, Source!FV54, "=")</f>
        <v>110*0,85=</v>
      </c>
      <c r="J135" s="23">
        <f>Source!AT54</f>
        <v>94</v>
      </c>
      <c r="K135" s="27">
        <f>SUM(T131:T138)</f>
        <v>1467.07</v>
      </c>
      <c r="L135" s="28"/>
    </row>
    <row r="136" spans="1:26" ht="14.25">
      <c r="A136" s="42"/>
      <c r="B136" s="43"/>
      <c r="C136" s="43" t="s">
        <v>424</v>
      </c>
      <c r="D136" s="24" t="s">
        <v>423</v>
      </c>
      <c r="E136" s="21">
        <f>Source!CA54</f>
        <v>70</v>
      </c>
      <c r="F136" s="81" t="str">
        <f>CONCATENATE(" )", Source!DM54, Source!FU54, "=", Source!FY54)</f>
        <v xml:space="preserve"> )*0,85=59,5</v>
      </c>
      <c r="G136" s="82"/>
      <c r="H136" s="27">
        <f>SUM(U131:U138)</f>
        <v>35.869999999999997</v>
      </c>
      <c r="I136" s="29" t="str">
        <f>CONCATENATE(Source!FY54, Source!FW54, "=")</f>
        <v>59,5*0,8=</v>
      </c>
      <c r="J136" s="23">
        <f>Source!AU54</f>
        <v>48</v>
      </c>
      <c r="K136" s="27">
        <f>SUM(V131:V138)</f>
        <v>749.14</v>
      </c>
      <c r="L136" s="28"/>
    </row>
    <row r="137" spans="1:26" ht="14.25">
      <c r="A137" s="42"/>
      <c r="B137" s="43"/>
      <c r="C137" s="43" t="s">
        <v>425</v>
      </c>
      <c r="D137" s="24" t="s">
        <v>426</v>
      </c>
      <c r="E137" s="21">
        <f>Source!AQ54</f>
        <v>7.19</v>
      </c>
      <c r="F137" s="25"/>
      <c r="G137" s="26" t="str">
        <f>Source!DI54</f>
        <v/>
      </c>
      <c r="H137" s="27"/>
      <c r="I137" s="26"/>
      <c r="J137" s="26"/>
      <c r="K137" s="27"/>
      <c r="L137" s="30">
        <f>Source!U54</f>
        <v>6.2553000000000001</v>
      </c>
    </row>
    <row r="138" spans="1:26" ht="28.5">
      <c r="A138" s="44" t="str">
        <f>Source!E55</f>
        <v>14,1</v>
      </c>
      <c r="B138" s="45" t="str">
        <f>Source!F55</f>
        <v>14.5.01.06-0011</v>
      </c>
      <c r="C138" s="45" t="str">
        <f>Source!G55</f>
        <v>Герметик полиуретановый</v>
      </c>
      <c r="D138" s="31" t="str">
        <f>Source!DW55</f>
        <v>кг</v>
      </c>
      <c r="E138" s="32">
        <f>Source!I55</f>
        <v>16.965</v>
      </c>
      <c r="F138" s="33">
        <f>Source!AL55+Source!AM55+Source!AO55</f>
        <v>90.13</v>
      </c>
      <c r="G138" s="34" t="s">
        <v>6</v>
      </c>
      <c r="H138" s="35">
        <f>ROUND(Source!AC55*Source!I55, 2)+ROUND(Source!AD55*Source!I55, 2)+ROUND(Source!AF55*Source!I55, 2)</f>
        <v>1529.06</v>
      </c>
      <c r="I138" s="36"/>
      <c r="J138" s="36">
        <f>IF(Source!BC55&lt;&gt; 0, Source!BC55, 1)</f>
        <v>8.23</v>
      </c>
      <c r="K138" s="35">
        <f>Source!O55</f>
        <v>12584.13</v>
      </c>
      <c r="L138" s="37"/>
      <c r="S138">
        <f>ROUND((Source!FX55/100)*((ROUND(Source!AF55*Source!I55, 2)+ROUND(Source!AE55*Source!I55, 2))), 2)</f>
        <v>0</v>
      </c>
      <c r="T138">
        <f>Source!X55</f>
        <v>0</v>
      </c>
      <c r="U138">
        <f>ROUND((Source!FY55/100)*((ROUND(Source!AF55*Source!I55, 2)+ROUND(Source!AE55*Source!I55, 2))), 2)</f>
        <v>0</v>
      </c>
      <c r="V138">
        <f>Source!Y55</f>
        <v>0</v>
      </c>
      <c r="W138">
        <f>IF(Source!BI55&lt;=1,H138, 0)</f>
        <v>1529.06</v>
      </c>
      <c r="X138">
        <f>IF(Source!BI55=2,H138, 0)</f>
        <v>0</v>
      </c>
      <c r="Y138">
        <f>IF(Source!BI55=3,H138, 0)</f>
        <v>0</v>
      </c>
      <c r="Z138">
        <f>IF(Source!BI55=4,H138, 0)</f>
        <v>0</v>
      </c>
    </row>
    <row r="139" spans="1:26" ht="15">
      <c r="G139" s="79">
        <f>H132+H133+H135+H136+SUM(H138:H138)</f>
        <v>1691.99</v>
      </c>
      <c r="H139" s="79"/>
      <c r="J139" s="79">
        <f>K132+K133+K135+K136+SUM(K138:K138)</f>
        <v>16364.4</v>
      </c>
      <c r="K139" s="79"/>
      <c r="L139" s="38">
        <f>Source!U54</f>
        <v>6.2553000000000001</v>
      </c>
      <c r="O139" s="18">
        <f>G139</f>
        <v>1691.99</v>
      </c>
      <c r="P139" s="18">
        <f>J139</f>
        <v>16364.4</v>
      </c>
      <c r="Q139" s="18">
        <f>L139</f>
        <v>6.2553000000000001</v>
      </c>
      <c r="W139">
        <f>IF(Source!BI54&lt;=1,H132+H133+H135+H136, 0)</f>
        <v>162.93</v>
      </c>
      <c r="X139">
        <f>IF(Source!BI54=2,H132+H133+H135+H136, 0)</f>
        <v>0</v>
      </c>
      <c r="Y139">
        <f>IF(Source!BI54=3,H132+H133+H135+H136, 0)</f>
        <v>0</v>
      </c>
      <c r="Z139">
        <f>IF(Source!BI54=4,H132+H133+H135+H136, 0)</f>
        <v>0</v>
      </c>
    </row>
    <row r="140" spans="1:26" ht="42.75">
      <c r="A140" s="44" t="str">
        <f>Source!E56</f>
        <v>15</v>
      </c>
      <c r="B140" s="45" t="str">
        <f>Source!F56</f>
        <v>т01-01-01-041</v>
      </c>
      <c r="C140" s="45" t="str">
        <f>Source!G56</f>
        <v>Погрузочные работы при автомобильных перевозках мусора строительного с погрузкой вручную</v>
      </c>
      <c r="D140" s="31" t="str">
        <f>Source!DW56</f>
        <v>1 Т ГРУЗА</v>
      </c>
      <c r="E140" s="32">
        <f>Source!I56</f>
        <v>21</v>
      </c>
      <c r="F140" s="33">
        <f>Source!AK56</f>
        <v>42.98</v>
      </c>
      <c r="G140" s="36" t="str">
        <f>Source!DC56</f>
        <v/>
      </c>
      <c r="H140" s="35">
        <f>ROUND(Source!AB56*Source!I56, 2)</f>
        <v>902.58</v>
      </c>
      <c r="I140" s="36" t="str">
        <f>Source!BO56</f>
        <v>т01-01-01-041</v>
      </c>
      <c r="J140" s="36">
        <f>Source!AZ56</f>
        <v>13.09</v>
      </c>
      <c r="K140" s="35">
        <f>Source!GM56</f>
        <v>11814.77</v>
      </c>
      <c r="L140" s="37"/>
      <c r="S140">
        <f>ROUND((Source!FX56/100)*((ROUND(0*Source!I56, 2)+ROUND(0*Source!I56, 2))), 2)</f>
        <v>0</v>
      </c>
      <c r="T140">
        <f>Source!X56</f>
        <v>0</v>
      </c>
      <c r="U140">
        <f>ROUND((Source!FY56/100)*((ROUND(0*Source!I56, 2)+ROUND(0*Source!I56, 2))), 2)</f>
        <v>0</v>
      </c>
      <c r="V140">
        <f>Source!Y56</f>
        <v>0</v>
      </c>
    </row>
    <row r="141" spans="1:26" ht="15">
      <c r="G141" s="79">
        <f>H140</f>
        <v>902.58</v>
      </c>
      <c r="H141" s="79"/>
      <c r="J141" s="79">
        <f>K140</f>
        <v>11814.77</v>
      </c>
      <c r="K141" s="79"/>
      <c r="L141" s="38">
        <f>Source!U56</f>
        <v>0</v>
      </c>
      <c r="O141" s="18">
        <f>G141</f>
        <v>902.58</v>
      </c>
      <c r="P141" s="18">
        <f>J141</f>
        <v>11814.77</v>
      </c>
      <c r="Q141" s="18">
        <f>L141</f>
        <v>0</v>
      </c>
      <c r="W141">
        <f>IF(Source!BI56&lt;=1,H140, 0)</f>
        <v>902.58</v>
      </c>
      <c r="X141">
        <f>IF(Source!BI56=2,H140, 0)</f>
        <v>0</v>
      </c>
      <c r="Y141">
        <f>IF(Source!BI56=3,H140, 0)</f>
        <v>0</v>
      </c>
      <c r="Z141">
        <f>IF(Source!BI56=4,H140, 0)</f>
        <v>0</v>
      </c>
    </row>
    <row r="142" spans="1:26" ht="57">
      <c r="A142" s="44" t="str">
        <f>Source!E57</f>
        <v>16</v>
      </c>
      <c r="B142" s="45" t="str">
        <f>Source!F57</f>
        <v>т03-21-01-033</v>
      </c>
      <c r="C142" s="45" t="str">
        <f>Source!G57</f>
        <v>Перевозка грузов I класса автомобилями-самосвалами грузоподъемностью 10 т работающих вне карьера на расстояние до 33 км</v>
      </c>
      <c r="D142" s="31" t="str">
        <f>Source!DW57</f>
        <v>1 Т ГРУЗА</v>
      </c>
      <c r="E142" s="32">
        <f>Source!I57</f>
        <v>21</v>
      </c>
      <c r="F142" s="33">
        <f>Source!AK57</f>
        <v>20.47</v>
      </c>
      <c r="G142" s="36" t="str">
        <f>Source!DC57</f>
        <v/>
      </c>
      <c r="H142" s="35">
        <f>ROUND(Source!AB57*Source!I57, 2)</f>
        <v>429.87</v>
      </c>
      <c r="I142" s="36" t="str">
        <f>Source!BO57</f>
        <v>т03-21-01-033</v>
      </c>
      <c r="J142" s="36">
        <f>Source!AZ57</f>
        <v>5.87</v>
      </c>
      <c r="K142" s="35">
        <f>Source!GM57</f>
        <v>2523.34</v>
      </c>
      <c r="L142" s="37"/>
      <c r="S142">
        <f>ROUND((Source!FX57/100)*((ROUND(0*Source!I57, 2)+ROUND(0*Source!I57, 2))), 2)</f>
        <v>0</v>
      </c>
      <c r="T142">
        <f>Source!X57</f>
        <v>0</v>
      </c>
      <c r="U142">
        <f>ROUND((Source!FY57/100)*((ROUND(0*Source!I57, 2)+ROUND(0*Source!I57, 2))), 2)</f>
        <v>0</v>
      </c>
      <c r="V142">
        <f>Source!Y57</f>
        <v>0</v>
      </c>
    </row>
    <row r="143" spans="1:26" ht="15">
      <c r="G143" s="79">
        <f>H142</f>
        <v>429.87</v>
      </c>
      <c r="H143" s="79"/>
      <c r="J143" s="79">
        <f>K142</f>
        <v>2523.34</v>
      </c>
      <c r="K143" s="79"/>
      <c r="L143" s="38">
        <f>Source!U57</f>
        <v>0</v>
      </c>
      <c r="O143" s="18">
        <f>G143</f>
        <v>429.87</v>
      </c>
      <c r="P143" s="18">
        <f>J143</f>
        <v>2523.34</v>
      </c>
      <c r="Q143" s="18">
        <f>L143</f>
        <v>0</v>
      </c>
      <c r="W143">
        <f>IF(Source!BI57&lt;=1,H142, 0)</f>
        <v>429.87</v>
      </c>
      <c r="X143">
        <f>IF(Source!BI57=2,H142, 0)</f>
        <v>0</v>
      </c>
      <c r="Y143">
        <f>IF(Source!BI57=3,H142, 0)</f>
        <v>0</v>
      </c>
      <c r="Z143">
        <f>IF(Source!BI57=4,H142, 0)</f>
        <v>0</v>
      </c>
    </row>
    <row r="145" spans="1:32" ht="30">
      <c r="A145" s="84" t="str">
        <f>CONCATENATE("Итого по локальной смете: ",IF(Source!G59&lt;&gt;"Новая локальная смета", Source!G59, ""))</f>
        <v>Итого по локальной смете: Ремонт кровли корпуса №1, оси 6-25 методом напыления полимочевины. Филиал ВМЗ "Салют"</v>
      </c>
      <c r="B145" s="84"/>
      <c r="C145" s="84"/>
      <c r="D145" s="84"/>
      <c r="E145" s="84"/>
      <c r="F145" s="84"/>
      <c r="G145" s="83">
        <f>SUM(O11:O144)</f>
        <v>11865752.859999999</v>
      </c>
      <c r="H145" s="83"/>
      <c r="I145" s="22"/>
      <c r="J145" s="83">
        <f>SUM(P11:P144)</f>
        <v>17477381.779999997</v>
      </c>
      <c r="K145" s="83"/>
      <c r="L145" s="38">
        <f>SUM(Q11:Q144)</f>
        <v>8342.321648000001</v>
      </c>
      <c r="AF145" s="48" t="str">
        <f>CONCATENATE("Итого по локальной смете: ",IF(Source!G59&lt;&gt;"Новая локальная смета", Source!G59, ""))</f>
        <v>Итого по локальной смете: Ремонт кровли корпуса №1, оси 6-25 методом напыления полимочевины. Филиал ВМЗ "Салют"</v>
      </c>
    </row>
    <row r="148" spans="1:32" s="62" customFormat="1" ht="15">
      <c r="C148" s="84" t="str">
        <f>Source!H87</f>
        <v>Основная ЗП рабочих</v>
      </c>
      <c r="D148" s="84"/>
      <c r="E148" s="84"/>
      <c r="F148" s="84"/>
      <c r="G148" s="84"/>
      <c r="H148" s="84"/>
      <c r="I148" s="84"/>
      <c r="J148" s="83">
        <f>IF(Source!F87=0, "", Source!F87)</f>
        <v>2042960.28</v>
      </c>
      <c r="K148" s="83"/>
    </row>
    <row r="149" spans="1:32" s="62" customFormat="1" ht="15">
      <c r="C149" s="84" t="str">
        <f>Source!H88</f>
        <v>Трудозатраты строителей</v>
      </c>
      <c r="D149" s="84"/>
      <c r="E149" s="84"/>
      <c r="F149" s="84"/>
      <c r="G149" s="84"/>
      <c r="H149" s="84"/>
      <c r="I149" s="84"/>
      <c r="J149" s="83">
        <f>IF(Source!F88=0, "", Source!F88)</f>
        <v>8342.32</v>
      </c>
      <c r="K149" s="83"/>
    </row>
    <row r="150" spans="1:32" s="62" customFormat="1" ht="15">
      <c r="C150" s="48"/>
      <c r="D150" s="48"/>
      <c r="E150" s="48"/>
      <c r="F150" s="48"/>
      <c r="G150" s="48"/>
      <c r="H150" s="48"/>
      <c r="I150" s="48"/>
      <c r="J150" s="64"/>
      <c r="K150" s="64"/>
    </row>
    <row r="151" spans="1:32" ht="14.25">
      <c r="C151" s="85" t="str">
        <f>Source!H89</f>
        <v>Итого с НР и СП</v>
      </c>
      <c r="D151" s="85"/>
      <c r="E151" s="85"/>
      <c r="F151" s="85"/>
      <c r="G151" s="85"/>
      <c r="H151" s="85"/>
      <c r="I151" s="85"/>
      <c r="J151" s="86">
        <f>IF(Source!F89=0, "", Source!F89)</f>
        <v>17477381.780000001</v>
      </c>
      <c r="K151" s="86"/>
    </row>
    <row r="152" spans="1:32" ht="14.25">
      <c r="C152" s="85" t="str">
        <f>Source!H90</f>
        <v>Непредвиденные затраты 3%</v>
      </c>
      <c r="D152" s="85"/>
      <c r="E152" s="85"/>
      <c r="F152" s="85"/>
      <c r="G152" s="85"/>
      <c r="H152" s="85"/>
      <c r="I152" s="85"/>
      <c r="J152" s="86">
        <f>IF(Source!F90=0, "", Source!F90)</f>
        <v>524321.44999999995</v>
      </c>
      <c r="K152" s="86"/>
    </row>
    <row r="153" spans="1:32" ht="14.25">
      <c r="C153" s="85" t="str">
        <f>Source!H91</f>
        <v>Итого  с непредвиденными затратами</v>
      </c>
      <c r="D153" s="85"/>
      <c r="E153" s="85"/>
      <c r="F153" s="85"/>
      <c r="G153" s="85"/>
      <c r="H153" s="85"/>
      <c r="I153" s="85"/>
      <c r="J153" s="86">
        <f>IF(Source!F91=0, "", Source!F91)</f>
        <v>18001703.23</v>
      </c>
      <c r="K153" s="86"/>
    </row>
    <row r="154" spans="1:32" ht="14.25">
      <c r="C154" s="85" t="str">
        <f>Source!H92</f>
        <v>НДС 18%</v>
      </c>
      <c r="D154" s="85"/>
      <c r="E154" s="85"/>
      <c r="F154" s="85"/>
      <c r="G154" s="85"/>
      <c r="H154" s="85"/>
      <c r="I154" s="85"/>
      <c r="J154" s="86">
        <f>IF(Source!F92=0, "", Source!F92)</f>
        <v>3240306.58</v>
      </c>
      <c r="K154" s="86"/>
    </row>
    <row r="155" spans="1:32" s="62" customFormat="1" ht="15">
      <c r="C155" s="84" t="str">
        <f>Source!H93</f>
        <v>Итого с НДС</v>
      </c>
      <c r="D155" s="84"/>
      <c r="E155" s="84"/>
      <c r="F155" s="84"/>
      <c r="G155" s="84"/>
      <c r="H155" s="84"/>
      <c r="I155" s="84"/>
      <c r="J155" s="83">
        <f>IF(Source!F93=0, "", Source!F93)</f>
        <v>21242009.809999999</v>
      </c>
      <c r="K155" s="83"/>
    </row>
    <row r="158" spans="1:32" ht="14.25">
      <c r="A158" s="20" t="s">
        <v>438</v>
      </c>
      <c r="B158" s="20"/>
      <c r="C158" s="21" t="s">
        <v>439</v>
      </c>
      <c r="D158" s="19" t="str">
        <f>IF(Source!AC12&lt;&gt;"", Source!AC12," ")</f>
        <v>ведущий инженер</v>
      </c>
      <c r="E158" s="19"/>
      <c r="F158" s="19"/>
      <c r="G158" s="19"/>
      <c r="H158" s="19"/>
      <c r="I158" s="10" t="str">
        <f>IF(Source!AB12&lt;&gt;"", Source!AB12," ")</f>
        <v>Высовень А.К.</v>
      </c>
      <c r="J158" s="10"/>
      <c r="K158" s="10"/>
      <c r="L158" s="10"/>
    </row>
    <row r="159" spans="1:32" ht="14.25">
      <c r="A159" s="10"/>
      <c r="B159" s="10"/>
      <c r="C159" s="21"/>
      <c r="D159" s="80" t="s">
        <v>440</v>
      </c>
      <c r="E159" s="80"/>
      <c r="F159" s="80"/>
      <c r="G159" s="80"/>
      <c r="H159" s="80"/>
      <c r="I159" s="10"/>
      <c r="J159" s="10"/>
      <c r="K159" s="10"/>
      <c r="L159" s="10"/>
    </row>
    <row r="160" spans="1:32" ht="14.25">
      <c r="A160" s="10"/>
      <c r="B160" s="10"/>
      <c r="C160" s="21"/>
      <c r="D160" s="10"/>
      <c r="E160" s="10"/>
      <c r="F160" s="10"/>
      <c r="G160" s="10"/>
      <c r="H160" s="10"/>
      <c r="I160" s="10"/>
      <c r="J160" s="10"/>
      <c r="K160" s="10"/>
      <c r="L160" s="10"/>
    </row>
    <row r="161" spans="1:12" ht="14.25">
      <c r="A161" s="20" t="s">
        <v>438</v>
      </c>
      <c r="B161" s="20"/>
      <c r="C161" s="21" t="s">
        <v>458</v>
      </c>
      <c r="D161" s="19" t="str">
        <f>IF(Source!AE12&lt;&gt;"", Source!AE12," ")</f>
        <v xml:space="preserve"> </v>
      </c>
      <c r="E161" s="19"/>
      <c r="F161" s="19"/>
      <c r="G161" s="19"/>
      <c r="H161" s="19"/>
      <c r="I161" s="10" t="str">
        <f>IF(Source!AD12&lt;&gt;"", Source!AD12," ")</f>
        <v>Жарова А.А.</v>
      </c>
      <c r="J161" s="10"/>
      <c r="K161" s="10"/>
      <c r="L161" s="10"/>
    </row>
    <row r="162" spans="1:12" ht="14.25">
      <c r="A162" s="10"/>
      <c r="B162" s="10"/>
      <c r="C162" s="10"/>
      <c r="D162" s="80" t="s">
        <v>440</v>
      </c>
      <c r="E162" s="80"/>
      <c r="F162" s="80"/>
      <c r="G162" s="80"/>
      <c r="H162" s="80"/>
      <c r="I162" s="10"/>
      <c r="J162" s="10"/>
      <c r="K162" s="10"/>
      <c r="L162" s="10"/>
    </row>
    <row r="163" spans="1:12" ht="14.25">
      <c r="A163" s="10"/>
      <c r="B163" s="10"/>
      <c r="C163" s="10"/>
      <c r="D163" s="63"/>
      <c r="E163" s="63"/>
      <c r="F163" s="63"/>
      <c r="G163" s="63"/>
      <c r="H163" s="63"/>
      <c r="I163" s="10"/>
      <c r="J163" s="10"/>
      <c r="K163" s="10"/>
      <c r="L163" s="10"/>
    </row>
    <row r="164" spans="1:12" ht="14.25">
      <c r="A164" s="10"/>
      <c r="B164" s="10"/>
      <c r="C164" s="21" t="s">
        <v>459</v>
      </c>
      <c r="D164" s="19" t="str">
        <f>IF(Source!AE15&lt;&gt;"", Source!AE15," ")</f>
        <v xml:space="preserve"> </v>
      </c>
      <c r="E164" s="19"/>
      <c r="F164" s="19"/>
      <c r="G164" s="19"/>
      <c r="H164" s="19"/>
      <c r="I164" s="10" t="s">
        <v>460</v>
      </c>
      <c r="J164" s="10"/>
      <c r="K164" s="10"/>
      <c r="L164" s="10"/>
    </row>
    <row r="165" spans="1:12" ht="14.25">
      <c r="C165" s="10"/>
      <c r="D165" s="80" t="s">
        <v>440</v>
      </c>
      <c r="E165" s="80"/>
      <c r="F165" s="80"/>
      <c r="G165" s="80"/>
      <c r="H165" s="80"/>
      <c r="I165" s="10"/>
    </row>
  </sheetData>
  <mergeCells count="71">
    <mergeCell ref="B1:K1"/>
    <mergeCell ref="B3:K3"/>
    <mergeCell ref="B4:K4"/>
    <mergeCell ref="A6:L6"/>
    <mergeCell ref="C7:F7"/>
    <mergeCell ref="K7:L7"/>
    <mergeCell ref="G7:J7"/>
    <mergeCell ref="J154:K154"/>
    <mergeCell ref="A8:L8"/>
    <mergeCell ref="C148:I148"/>
    <mergeCell ref="J148:K148"/>
    <mergeCell ref="C149:I149"/>
    <mergeCell ref="J149:K149"/>
    <mergeCell ref="C151:I151"/>
    <mergeCell ref="J151:K151"/>
    <mergeCell ref="F85:G85"/>
    <mergeCell ref="J78:K78"/>
    <mergeCell ref="G78:H78"/>
    <mergeCell ref="G62:H62"/>
    <mergeCell ref="J25:K25"/>
    <mergeCell ref="G25:H25"/>
    <mergeCell ref="F23:G23"/>
    <mergeCell ref="J18:K18"/>
    <mergeCell ref="C155:I155"/>
    <mergeCell ref="J155:K155"/>
    <mergeCell ref="D159:H159"/>
    <mergeCell ref="D162:H162"/>
    <mergeCell ref="J90:K90"/>
    <mergeCell ref="G90:H90"/>
    <mergeCell ref="A145:F145"/>
    <mergeCell ref="J143:K143"/>
    <mergeCell ref="G143:H143"/>
    <mergeCell ref="J141:K141"/>
    <mergeCell ref="C152:I152"/>
    <mergeCell ref="J152:K152"/>
    <mergeCell ref="C153:I153"/>
    <mergeCell ref="J153:K153"/>
    <mergeCell ref="C154:I154"/>
    <mergeCell ref="G139:H139"/>
    <mergeCell ref="G18:H18"/>
    <mergeCell ref="F136:G136"/>
    <mergeCell ref="J130:K130"/>
    <mergeCell ref="G130:H130"/>
    <mergeCell ref="J36:K36"/>
    <mergeCell ref="G36:H36"/>
    <mergeCell ref="F60:G60"/>
    <mergeCell ref="J55:K55"/>
    <mergeCell ref="G55:H55"/>
    <mergeCell ref="J45:K45"/>
    <mergeCell ref="G45:H45"/>
    <mergeCell ref="F43:G43"/>
    <mergeCell ref="F76:G76"/>
    <mergeCell ref="J72:K72"/>
    <mergeCell ref="G72:H72"/>
    <mergeCell ref="F69:G69"/>
    <mergeCell ref="J62:K62"/>
    <mergeCell ref="D165:H165"/>
    <mergeCell ref="F109:G109"/>
    <mergeCell ref="J102:K102"/>
    <mergeCell ref="G102:H102"/>
    <mergeCell ref="F97:G97"/>
    <mergeCell ref="G145:H145"/>
    <mergeCell ref="J145:K145"/>
    <mergeCell ref="F128:G128"/>
    <mergeCell ref="J121:K121"/>
    <mergeCell ref="G121:H121"/>
    <mergeCell ref="F118:G118"/>
    <mergeCell ref="J114:K114"/>
    <mergeCell ref="G114:H114"/>
    <mergeCell ref="G141:H141"/>
    <mergeCell ref="J139:K139"/>
  </mergeCells>
  <pageMargins left="0.4" right="0.2" top="0.4" bottom="0.4" header="0.2" footer="0.2"/>
  <pageSetup paperSize="9" scale="59" fitToHeight="0" orientation="portrait" r:id="rId1"/>
  <headerFooter>
    <oddHeader>&amp;L&amp;8АО  "НПЦ газотурбостроения "Салют"  Доп. раб. место  MCCS-0027022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8"/>
  <sheetViews>
    <sheetView zoomScaleNormal="100" workbookViewId="0"/>
  </sheetViews>
  <sheetFormatPr defaultRowHeight="12.75"/>
  <cols>
    <col min="1" max="1" width="6.7109375" customWidth="1"/>
    <col min="2" max="2" width="75.7109375" customWidth="1"/>
    <col min="3" max="5" width="15.7109375" customWidth="1"/>
    <col min="31" max="31" width="129.7109375" customWidth="1"/>
  </cols>
  <sheetData>
    <row r="1" spans="1:31">
      <c r="A1" s="17" t="str">
        <f>Source!B1</f>
        <v>Smeta.RU  (495) 974-1589</v>
      </c>
    </row>
    <row r="2" spans="1:31" ht="14.25">
      <c r="A2" s="10"/>
      <c r="B2" s="10"/>
      <c r="C2" s="10"/>
      <c r="D2" s="10"/>
      <c r="E2" s="10"/>
    </row>
    <row r="3" spans="1:31" ht="15.75">
      <c r="A3" s="94" t="str">
        <f>CONCATENATE("Дефектный акт ", IF(Source!AN15&lt;&gt;"", Source!AN15," "))</f>
        <v xml:space="preserve">Дефектный акт  </v>
      </c>
      <c r="B3" s="94"/>
      <c r="C3" s="94"/>
      <c r="D3" s="94"/>
      <c r="E3" s="10"/>
    </row>
    <row r="4" spans="1:31" ht="15">
      <c r="A4" s="95" t="str">
        <f>CONCATENATE("На капитальный ремонт ", Source!F12)</f>
        <v>На капитальный ремонт Новый объект</v>
      </c>
      <c r="B4" s="95"/>
      <c r="C4" s="95"/>
      <c r="D4" s="95"/>
      <c r="E4" s="10"/>
    </row>
    <row r="5" spans="1:31" ht="14.25">
      <c r="A5" s="10"/>
      <c r="B5" s="10"/>
      <c r="C5" s="10"/>
      <c r="D5" s="10"/>
      <c r="E5" s="10"/>
    </row>
    <row r="6" spans="1:31" ht="15">
      <c r="A6" s="10"/>
      <c r="B6" s="49" t="s">
        <v>441</v>
      </c>
      <c r="C6" s="10"/>
      <c r="D6" s="10"/>
      <c r="E6" s="10"/>
    </row>
    <row r="7" spans="1:31" ht="15">
      <c r="A7" s="10"/>
      <c r="B7" s="49" t="s">
        <v>442</v>
      </c>
      <c r="C7" s="10"/>
      <c r="D7" s="10"/>
      <c r="E7" s="10"/>
    </row>
    <row r="8" spans="1:31" ht="15">
      <c r="A8" s="10"/>
      <c r="B8" s="49" t="s">
        <v>443</v>
      </c>
      <c r="C8" s="10"/>
      <c r="D8" s="10"/>
      <c r="E8" s="10"/>
    </row>
    <row r="9" spans="1:31" ht="28.5">
      <c r="A9" s="14" t="s">
        <v>408</v>
      </c>
      <c r="B9" s="14" t="s">
        <v>410</v>
      </c>
      <c r="C9" s="14" t="s">
        <v>444</v>
      </c>
      <c r="D9" s="14" t="s">
        <v>445</v>
      </c>
      <c r="E9" s="50" t="s">
        <v>446</v>
      </c>
    </row>
    <row r="10" spans="1:31" ht="14.25">
      <c r="A10" s="52">
        <v>1</v>
      </c>
      <c r="B10" s="52">
        <v>2</v>
      </c>
      <c r="C10" s="52">
        <v>3</v>
      </c>
      <c r="D10" s="52">
        <v>4</v>
      </c>
      <c r="E10" s="53">
        <v>5</v>
      </c>
    </row>
    <row r="11" spans="1:31" ht="33">
      <c r="A11" s="96" t="str">
        <f>CONCATENATE("Локальная смета: ", Source!G20)</f>
        <v>Локальная смета: Ремонт кровли корпуса №1, оси 6-25 методом напыления полимочевины. Филиал ВМЗ "Салют"</v>
      </c>
      <c r="B11" s="96"/>
      <c r="C11" s="96"/>
      <c r="D11" s="96"/>
      <c r="E11" s="96"/>
      <c r="AE11" s="51" t="str">
        <f>CONCATENATE("Локальная смета: ", Source!G20)</f>
        <v>Локальная смета: Ремонт кровли корпуса №1, оси 6-25 методом напыления полимочевины. Филиал ВМЗ "Салют"</v>
      </c>
    </row>
    <row r="12" spans="1:31" ht="28.5">
      <c r="A12" s="58" t="str">
        <f>Source!E24</f>
        <v>1</v>
      </c>
      <c r="B12" s="59" t="str">
        <f>Source!G24</f>
        <v>Разборка мелких покрытий и обделок из листовой стали поясков, сандриков, желобов, отливов, свесов и т.п. (парапеты)</v>
      </c>
      <c r="C12" s="60" t="str">
        <f>Source!H24</f>
        <v>100 м</v>
      </c>
      <c r="D12" s="61">
        <f>Source!I24</f>
        <v>3.6</v>
      </c>
      <c r="E12" s="58"/>
    </row>
    <row r="13" spans="1:31" ht="14.25">
      <c r="A13" s="58" t="str">
        <f>Source!E25</f>
        <v>1,1</v>
      </c>
      <c r="B13" s="59" t="str">
        <f>Source!G25</f>
        <v>Строительный мусор</v>
      </c>
      <c r="C13" s="60" t="str">
        <f>Source!H25</f>
        <v>т</v>
      </c>
      <c r="D13" s="61">
        <f>Source!I25</f>
        <v>0.432</v>
      </c>
      <c r="E13" s="58"/>
    </row>
    <row r="14" spans="1:31" ht="14.25">
      <c r="A14" s="58" t="str">
        <f>Source!E26</f>
        <v>2</v>
      </c>
      <c r="B14" s="59" t="str">
        <f>Source!G26</f>
        <v>Разборка водоизоляционного слоя примыканий (прим.)</v>
      </c>
      <c r="C14" s="60" t="str">
        <f>Source!H26</f>
        <v>100 м2</v>
      </c>
      <c r="D14" s="61">
        <f>Source!I26</f>
        <v>2.16</v>
      </c>
      <c r="E14" s="58"/>
    </row>
    <row r="15" spans="1:31" ht="14.25">
      <c r="A15" s="58" t="str">
        <f>Source!E27</f>
        <v>3</v>
      </c>
      <c r="B15" s="59" t="str">
        <f>Source!G27</f>
        <v>Ремонт отдельными местами рулонного покрытия с заменой 1 слоя</v>
      </c>
      <c r="C15" s="60" t="str">
        <f>Source!H27</f>
        <v>100 м2</v>
      </c>
      <c r="D15" s="61">
        <f>Source!I27</f>
        <v>28</v>
      </c>
      <c r="E15" s="58"/>
    </row>
    <row r="16" spans="1:31" ht="14.25">
      <c r="A16" s="58" t="str">
        <f>Source!E28</f>
        <v>3,1</v>
      </c>
      <c r="B16" s="59" t="str">
        <f>Source!G28</f>
        <v>Строительный мусор</v>
      </c>
      <c r="C16" s="60" t="str">
        <f>Source!H28</f>
        <v>т</v>
      </c>
      <c r="D16" s="61">
        <f>Source!I28</f>
        <v>9.52</v>
      </c>
      <c r="E16" s="58"/>
    </row>
    <row r="17" spans="1:5" ht="14.25">
      <c r="A17" s="58" t="str">
        <f>Source!E29</f>
        <v>3,2</v>
      </c>
      <c r="B17" s="59" t="str">
        <f>Source!G29</f>
        <v>Техноэласт ЭКП</v>
      </c>
      <c r="C17" s="60" t="str">
        <f>Source!H29</f>
        <v>м2</v>
      </c>
      <c r="D17" s="61">
        <f>Source!I29</f>
        <v>3220</v>
      </c>
      <c r="E17" s="58"/>
    </row>
    <row r="18" spans="1:5" ht="28.5">
      <c r="A18" s="58" t="str">
        <f>Source!E30</f>
        <v>4</v>
      </c>
      <c r="B18" s="59" t="str">
        <f>Source!G30</f>
        <v>Герметизация примыкания водоизоляционного слоя к парапету (шириной до 10 см) (прим.)</v>
      </c>
      <c r="C18" s="60" t="str">
        <f>Source!H30</f>
        <v>100 м</v>
      </c>
      <c r="D18" s="61">
        <f>Source!I30</f>
        <v>3.6</v>
      </c>
      <c r="E18" s="58"/>
    </row>
    <row r="19" spans="1:5" ht="14.25">
      <c r="A19" s="58" t="str">
        <f>Source!E31</f>
        <v>5</v>
      </c>
      <c r="B19" s="59" t="str">
        <f>Source!G31</f>
        <v>Ремонт цементной стяжки площадью заделки до 1,0 м2</v>
      </c>
      <c r="C19" s="60" t="str">
        <f>Source!H31</f>
        <v>100 мест</v>
      </c>
      <c r="D19" s="61">
        <f>Source!I31</f>
        <v>8.58</v>
      </c>
      <c r="E19" s="58"/>
    </row>
    <row r="20" spans="1:5" ht="14.25">
      <c r="A20" s="58" t="str">
        <f>Source!E32</f>
        <v>5,1</v>
      </c>
      <c r="B20" s="59" t="str">
        <f>Source!G32</f>
        <v>Строительный мусор</v>
      </c>
      <c r="C20" s="60" t="str">
        <f>Source!H32</f>
        <v>т</v>
      </c>
      <c r="D20" s="61">
        <f>Source!I32</f>
        <v>12.698399999999999</v>
      </c>
      <c r="E20" s="58"/>
    </row>
    <row r="21" spans="1:5" ht="28.5">
      <c r="A21" s="58" t="str">
        <f>Source!E33</f>
        <v>5,2</v>
      </c>
      <c r="B21" s="59" t="str">
        <f>Source!G33</f>
        <v>Портландцемент общестроительного назначения бездобавочный, марки 400</v>
      </c>
      <c r="C21" s="60" t="str">
        <f>Source!H33</f>
        <v>т</v>
      </c>
      <c r="D21" s="61">
        <f>Source!I33</f>
        <v>0.18018000000000001</v>
      </c>
      <c r="E21" s="58"/>
    </row>
    <row r="22" spans="1:5" ht="14.25">
      <c r="A22" s="58" t="str">
        <f>Source!E34</f>
        <v>5,3</v>
      </c>
      <c r="B22" s="59" t="str">
        <f>Source!G34</f>
        <v>Раствор готовый кладочный цементный марки 100</v>
      </c>
      <c r="C22" s="60" t="str">
        <f>Source!H34</f>
        <v>м3</v>
      </c>
      <c r="D22" s="61">
        <f>Source!I34</f>
        <v>18.3612</v>
      </c>
      <c r="E22" s="58"/>
    </row>
    <row r="23" spans="1:5" ht="14.25">
      <c r="A23" s="58" t="str">
        <f>Source!E35</f>
        <v>6</v>
      </c>
      <c r="B23" s="59" t="str">
        <f>Source!G35</f>
        <v>Сверление отверстий под аэраторы (прим.)</v>
      </c>
      <c r="C23" s="60" t="str">
        <f>Source!H35</f>
        <v>100 ШТ</v>
      </c>
      <c r="D23" s="61">
        <f>Source!I35</f>
        <v>0.3</v>
      </c>
      <c r="E23" s="58"/>
    </row>
    <row r="24" spans="1:5" ht="14.25">
      <c r="A24" s="58" t="str">
        <f>Source!E36</f>
        <v>7</v>
      </c>
      <c r="B24" s="59" t="str">
        <f>Source!G36</f>
        <v>Установка дефлекторов диаметром патрубка 280 мм</v>
      </c>
      <c r="C24" s="60" t="str">
        <f>Source!H36</f>
        <v>ШТ</v>
      </c>
      <c r="D24" s="61">
        <f>Source!I36</f>
        <v>3</v>
      </c>
      <c r="E24" s="58"/>
    </row>
    <row r="25" spans="1:5" ht="14.25">
      <c r="A25" s="58" t="str">
        <f>Source!E37</f>
        <v>7,1</v>
      </c>
      <c r="B25" s="59" t="str">
        <f>Source!G37</f>
        <v>Аэратор пластиковый для плоских кровель</v>
      </c>
      <c r="C25" s="60" t="str">
        <f>Source!H37</f>
        <v>шт.</v>
      </c>
      <c r="D25" s="61">
        <f>Source!I37</f>
        <v>3</v>
      </c>
      <c r="E25" s="58"/>
    </row>
    <row r="26" spans="1:5" ht="14.25">
      <c r="A26" s="58" t="str">
        <f>Source!E38</f>
        <v>8</v>
      </c>
      <c r="B26" s="59" t="str">
        <f>Source!G38</f>
        <v>Обеспыливание поверхности</v>
      </c>
      <c r="C26" s="60" t="str">
        <f>Source!H38</f>
        <v>м2</v>
      </c>
      <c r="D26" s="61">
        <f>Source!I38</f>
        <v>7997</v>
      </c>
      <c r="E26" s="58"/>
    </row>
    <row r="27" spans="1:5" ht="57">
      <c r="A27" s="58" t="str">
        <f>Source!E39</f>
        <v>9</v>
      </c>
      <c r="B27" s="59" t="str">
        <f>Source!G39</f>
        <v>Изоляция плоских и криволинейных поверхностей из пенополиуретана методом напыления (теплоизоляция плоских и криволинейных поверхностей из пенополиуретана с фреоновым вспениванием методом напыления толщиной 15 мм)</v>
      </c>
      <c r="C27" s="60" t="str">
        <f>Source!H39</f>
        <v>м3</v>
      </c>
      <c r="D27" s="61">
        <f>Source!I39</f>
        <v>123</v>
      </c>
      <c r="E27" s="58"/>
    </row>
    <row r="28" spans="1:5" ht="14.25">
      <c r="A28" s="58" t="str">
        <f>Source!E40</f>
        <v>9,1</v>
      </c>
      <c r="B28" s="59" t="str">
        <f>Source!G40</f>
        <v>Компонент А системы жидких компонентов для напыления ППУ</v>
      </c>
      <c r="C28" s="60" t="str">
        <f>Source!H40</f>
        <v>кг</v>
      </c>
      <c r="D28" s="61">
        <f>Source!I40</f>
        <v>-5269.32</v>
      </c>
      <c r="E28" s="58"/>
    </row>
    <row r="29" spans="1:5" ht="14.25">
      <c r="A29" s="58" t="str">
        <f>Source!E41</f>
        <v>9,2</v>
      </c>
      <c r="B29" s="59" t="str">
        <f>Source!G41</f>
        <v>Компонент Б системы жидких компонентов для напыления ППУ</v>
      </c>
      <c r="C29" s="60" t="str">
        <f>Source!H41</f>
        <v>кг</v>
      </c>
      <c r="D29" s="61">
        <f>Source!I41</f>
        <v>-5062.68</v>
      </c>
      <c r="E29" s="58"/>
    </row>
    <row r="30" spans="1:5" ht="42.75">
      <c r="A30" s="58" t="str">
        <f>Source!E42</f>
        <v>9,3</v>
      </c>
      <c r="B30" s="59" t="str">
        <f>Source!G42</f>
        <v>Полиненоуретановая пена с фреоновым вспенивателем горячего напыления плотностью 42-55 кг/м3, теплопроводностью 0,028-0,032 Вт/мК Wetisol SprayFoam-50 или аналог</v>
      </c>
      <c r="C30" s="60" t="str">
        <f>Source!H42</f>
        <v>кг</v>
      </c>
      <c r="D30" s="61">
        <f>Source!I42</f>
        <v>6560</v>
      </c>
      <c r="E30" s="58"/>
    </row>
    <row r="31" spans="1:5" ht="28.5">
      <c r="A31" s="58" t="str">
        <f>Source!E43</f>
        <v>10</v>
      </c>
      <c r="B31" s="59" t="str">
        <f>Source!G43</f>
        <v>Гидрозоляция плоских и криволинейных поверхностей из полимочевины методом напыления толщиной 1,5-2,5 мм включая парапеты (прим.)</v>
      </c>
      <c r="C31" s="60" t="str">
        <f>Source!H43</f>
        <v>м3</v>
      </c>
      <c r="D31" s="61">
        <f>Source!I43</f>
        <v>15.994</v>
      </c>
      <c r="E31" s="58"/>
    </row>
    <row r="32" spans="1:5" ht="14.25">
      <c r="A32" s="58" t="str">
        <f>Source!E44</f>
        <v>10,1</v>
      </c>
      <c r="B32" s="59" t="str">
        <f>Source!G44</f>
        <v>Компонент А системы жидких компонентов для напыления ППУ</v>
      </c>
      <c r="C32" s="60" t="str">
        <f>Source!H44</f>
        <v>кг</v>
      </c>
      <c r="D32" s="61">
        <f>Source!I44</f>
        <v>-685.18295999999998</v>
      </c>
      <c r="E32" s="58"/>
    </row>
    <row r="33" spans="1:5" ht="14.25">
      <c r="A33" s="58" t="str">
        <f>Source!E45</f>
        <v>10,2</v>
      </c>
      <c r="B33" s="59" t="str">
        <f>Source!G45</f>
        <v>Компонент Б системы жидких компонентов для напыления ППУ</v>
      </c>
      <c r="C33" s="60" t="str">
        <f>Source!H45</f>
        <v>кг</v>
      </c>
      <c r="D33" s="61">
        <f>Source!I45</f>
        <v>-658.31304</v>
      </c>
      <c r="E33" s="58"/>
    </row>
    <row r="34" spans="1:5" ht="57">
      <c r="A34" s="58" t="str">
        <f>Source!E46</f>
        <v>10,3</v>
      </c>
      <c r="B34" s="59" t="str">
        <f>Source!G46</f>
        <v>Полимочевина (поликарбомид) ароматическая:КМ2, удлинение при разрыве 350-400мм, прочность на разрыв не менее 20Мпа, твердость по Шору не менее 45 ед, истираемость по таберу не более 26 мг. Wetosol Spray-400 или аналог</v>
      </c>
      <c r="C34" s="60" t="str">
        <f>Source!H46</f>
        <v>кг</v>
      </c>
      <c r="D34" s="61">
        <f>Source!I46</f>
        <v>17593.400000000001</v>
      </c>
      <c r="E34" s="58"/>
    </row>
    <row r="35" spans="1:5" ht="28.5">
      <c r="A35" s="58" t="str">
        <f>Source!E47</f>
        <v>11</v>
      </c>
      <c r="B35" s="59" t="str">
        <f>Source!G47</f>
        <v>Изоляция плоских и криволинейных поверхностей защитой от ультрафиолета  толщиной 0,3 мм (прим.)</v>
      </c>
      <c r="C35" s="60" t="str">
        <f>Source!H47</f>
        <v>м3</v>
      </c>
      <c r="D35" s="61">
        <f>Source!I47</f>
        <v>2.39</v>
      </c>
      <c r="E35" s="58"/>
    </row>
    <row r="36" spans="1:5" ht="14.25">
      <c r="A36" s="58" t="str">
        <f>Source!E48</f>
        <v>11,1</v>
      </c>
      <c r="B36" s="59" t="str">
        <f>Source!G48</f>
        <v>Компонент А системы жидких компонентов для напыления ППУ</v>
      </c>
      <c r="C36" s="60" t="str">
        <f>Source!H48</f>
        <v>кг</v>
      </c>
      <c r="D36" s="61">
        <f>Source!I48</f>
        <v>-102.38760000000002</v>
      </c>
      <c r="E36" s="58"/>
    </row>
    <row r="37" spans="1:5" ht="14.25">
      <c r="A37" s="58" t="str">
        <f>Source!E49</f>
        <v>11,2</v>
      </c>
      <c r="B37" s="59" t="str">
        <f>Source!G49</f>
        <v>Компонент Б системы жидких компонентов для напыления ППУ</v>
      </c>
      <c r="C37" s="60" t="str">
        <f>Source!H49</f>
        <v>кг</v>
      </c>
      <c r="D37" s="61">
        <f>Source!I49</f>
        <v>-98.372399999999999</v>
      </c>
      <c r="E37" s="58"/>
    </row>
    <row r="38" spans="1:5" ht="14.25">
      <c r="A38" s="58" t="str">
        <f>Source!E50</f>
        <v>11,3</v>
      </c>
      <c r="B38" s="59" t="str">
        <f>Source!G50</f>
        <v>УФ-стойкое покрытие Wetisol Spray-400 UV или аналог</v>
      </c>
      <c r="C38" s="60" t="str">
        <f>Source!H50</f>
        <v>кг</v>
      </c>
      <c r="D38" s="61">
        <f>Source!I50</f>
        <v>2632.7399999999993</v>
      </c>
      <c r="E38" s="58"/>
    </row>
    <row r="39" spans="1:5" ht="14.25">
      <c r="A39" s="58" t="str">
        <f>Source!E51</f>
        <v>12</v>
      </c>
      <c r="B39" s="59" t="str">
        <f>Source!G51</f>
        <v>Устройство металлической водосточной системы воронок</v>
      </c>
      <c r="C39" s="60" t="str">
        <f>Source!H51</f>
        <v>шт.</v>
      </c>
      <c r="D39" s="61">
        <f>Source!I51</f>
        <v>16</v>
      </c>
      <c r="E39" s="58"/>
    </row>
    <row r="40" spans="1:5" ht="14.25">
      <c r="A40" s="58" t="str">
        <f>Source!E52</f>
        <v>12,1</v>
      </c>
      <c r="B40" s="59" t="str">
        <f>Source!G52</f>
        <v>Воронка водосточная из оцинкованной стали</v>
      </c>
      <c r="C40" s="60" t="str">
        <f>Source!H52</f>
        <v>шт.</v>
      </c>
      <c r="D40" s="61">
        <f>Source!I52</f>
        <v>16</v>
      </c>
      <c r="E40" s="58"/>
    </row>
    <row r="41" spans="1:5" ht="28.5">
      <c r="A41" s="58" t="str">
        <f>Source!E53</f>
        <v>13</v>
      </c>
      <c r="B41" s="59" t="str">
        <f>Source!G53</f>
        <v>Устройство мелких покрытий (брандмауэры, парапеты, свесы и т.п.) из листовой оцинкованной стали (парапеты)</v>
      </c>
      <c r="C41" s="60" t="str">
        <f>Source!H53</f>
        <v>100 м2</v>
      </c>
      <c r="D41" s="61">
        <f>Source!I53</f>
        <v>2.16</v>
      </c>
      <c r="E41" s="58"/>
    </row>
    <row r="42" spans="1:5" ht="42.75">
      <c r="A42" s="58" t="str">
        <f>Source!E54</f>
        <v>14</v>
      </c>
      <c r="B42" s="59" t="str">
        <f>Source!G54</f>
        <v>Гидроизоляция полиуретановым герметиком без уплотнения пенополиэтиленовым прокладочным шнуром швов по оцинкованному железу</v>
      </c>
      <c r="C42" s="60" t="str">
        <f>Source!H54</f>
        <v>100 м</v>
      </c>
      <c r="D42" s="61">
        <f>Source!I54</f>
        <v>0.87</v>
      </c>
      <c r="E42" s="58"/>
    </row>
    <row r="43" spans="1:5" ht="14.25">
      <c r="A43" s="58" t="str">
        <f>Source!E55</f>
        <v>14,1</v>
      </c>
      <c r="B43" s="59" t="str">
        <f>Source!G55</f>
        <v>Герметик полиуретановый</v>
      </c>
      <c r="C43" s="60" t="str">
        <f>Source!H55</f>
        <v>кг</v>
      </c>
      <c r="D43" s="61">
        <f>Source!I55</f>
        <v>16.965</v>
      </c>
      <c r="E43" s="58"/>
    </row>
    <row r="44" spans="1:5" ht="28.5">
      <c r="A44" s="58" t="str">
        <f>Source!E56</f>
        <v>15</v>
      </c>
      <c r="B44" s="59" t="str">
        <f>Source!G56</f>
        <v>Погрузочные работы при автомобильных перевозках мусора строительного с погрузкой вручную</v>
      </c>
      <c r="C44" s="60" t="str">
        <f>Source!H56</f>
        <v>1 Т ГРУЗА</v>
      </c>
      <c r="D44" s="61">
        <f>Source!I56</f>
        <v>21</v>
      </c>
      <c r="E44" s="58"/>
    </row>
    <row r="45" spans="1:5" ht="42.75">
      <c r="A45" s="54" t="str">
        <f>Source!E57</f>
        <v>16</v>
      </c>
      <c r="B45" s="55" t="str">
        <f>Source!G57</f>
        <v>Перевозка грузов I класса автомобилями-самосвалами грузоподъемностью 10 т работающих вне карьера на расстояние до 33 км</v>
      </c>
      <c r="C45" s="56" t="str">
        <f>Source!H57</f>
        <v>1 Т ГРУЗА</v>
      </c>
      <c r="D45" s="57">
        <f>Source!I57</f>
        <v>21</v>
      </c>
      <c r="E45" s="54"/>
    </row>
    <row r="48" spans="1:5" ht="15">
      <c r="A48" s="22" t="s">
        <v>447</v>
      </c>
      <c r="B48" s="22"/>
      <c r="C48" s="22" t="s">
        <v>448</v>
      </c>
      <c r="D48" s="22"/>
      <c r="E48" s="22"/>
    </row>
  </sheetData>
  <mergeCells count="3">
    <mergeCell ref="A3:D3"/>
    <mergeCell ref="A4:D4"/>
    <mergeCell ref="A11:E11"/>
  </mergeCells>
  <pageMargins left="0.4" right="0.2" top="0.4" bottom="0.4" header="0.2" footer="0.2"/>
  <pageSetup paperSize="9" scale="77" fitToHeight="0" orientation="portrait" r:id="rId1"/>
  <headerFooter>
    <oddHeader>&amp;L&amp;8АО  "НПЦ газотурбостроения "Салют"  Доп. раб. место  MCCS-0027022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5"/>
  <sheetViews>
    <sheetView topLeftCell="A61" zoomScaleNormal="100" workbookViewId="0">
      <selection activeCell="C72" sqref="C72"/>
    </sheetView>
  </sheetViews>
  <sheetFormatPr defaultRowHeight="12.75"/>
  <cols>
    <col min="1" max="1" width="6.7109375" style="17" customWidth="1"/>
    <col min="2" max="2" width="15.7109375" style="17" customWidth="1"/>
    <col min="3" max="3" width="50.5703125" style="17" customWidth="1"/>
    <col min="4" max="4" width="12.7109375" style="17" customWidth="1"/>
    <col min="5" max="6" width="12.7109375" style="17" hidden="1" customWidth="1"/>
    <col min="7" max="7" width="13.85546875" style="17" customWidth="1"/>
  </cols>
  <sheetData>
    <row r="2" spans="1:7">
      <c r="A2" s="99" t="str">
        <f>CONCATENATE("ЛОКАЛЬНАЯ РЕСУРСНАЯ ВЕДОМОСТЬ № ",IF(Source!F20&lt;&gt;"Новая локальная смета", Source!F20, ""))</f>
        <v xml:space="preserve">ЛОКАЛЬНАЯ РЕСУРСНАЯ ВЕДОМОСТЬ № </v>
      </c>
      <c r="B2" s="100"/>
      <c r="C2" s="100"/>
      <c r="D2" s="100"/>
      <c r="E2" s="100"/>
      <c r="F2" s="100"/>
      <c r="G2" s="100"/>
    </row>
    <row r="4" spans="1:7">
      <c r="A4" s="101" t="str">
        <f>IF(Source!G20&lt;&gt;"Новая локальная смета", Source!G20, "")</f>
        <v>Ремонт кровли корпуса №1, оси 6-25 методом напыления полимочевины. Филиал ВМЗ "Салют"</v>
      </c>
      <c r="B4" s="101"/>
      <c r="C4" s="101"/>
      <c r="D4" s="101"/>
      <c r="E4" s="101"/>
      <c r="F4" s="101"/>
      <c r="G4" s="101"/>
    </row>
    <row r="5" spans="1:7">
      <c r="A5" s="102" t="s">
        <v>449</v>
      </c>
      <c r="B5" s="103"/>
      <c r="C5" s="103"/>
      <c r="D5" s="103"/>
      <c r="E5" s="103"/>
      <c r="F5" s="103"/>
      <c r="G5" s="103"/>
    </row>
    <row r="7" spans="1:7">
      <c r="A7" s="104" t="s">
        <v>406</v>
      </c>
      <c r="B7" s="104"/>
      <c r="C7" s="65" t="str">
        <f>Source!J20</f>
        <v>Техническое задание №09.12.002 Никонов М.А.</v>
      </c>
      <c r="D7" s="65"/>
      <c r="E7" s="65"/>
      <c r="F7" s="65"/>
      <c r="G7" s="65"/>
    </row>
    <row r="8" spans="1:7">
      <c r="A8" s="66"/>
      <c r="B8" s="66"/>
      <c r="C8" s="66"/>
      <c r="D8" s="66"/>
      <c r="E8" s="66"/>
      <c r="F8" s="66"/>
      <c r="G8" s="66"/>
    </row>
    <row r="9" spans="1:7" ht="48">
      <c r="A9" s="67" t="s">
        <v>408</v>
      </c>
      <c r="B9" s="67" t="s">
        <v>450</v>
      </c>
      <c r="C9" s="67" t="s">
        <v>451</v>
      </c>
      <c r="D9" s="67" t="s">
        <v>444</v>
      </c>
      <c r="E9" s="67" t="s">
        <v>452</v>
      </c>
      <c r="F9" s="68" t="s">
        <v>453</v>
      </c>
      <c r="G9" s="68" t="s">
        <v>454</v>
      </c>
    </row>
    <row r="10" spans="1:7">
      <c r="A10" s="67">
        <v>1</v>
      </c>
      <c r="B10" s="67">
        <v>2</v>
      </c>
      <c r="C10" s="67">
        <v>3</v>
      </c>
      <c r="D10" s="67">
        <v>4</v>
      </c>
      <c r="E10" s="67">
        <v>5</v>
      </c>
      <c r="F10" s="67">
        <v>6</v>
      </c>
      <c r="G10" s="67">
        <v>5</v>
      </c>
    </row>
    <row r="11" spans="1:7" ht="36">
      <c r="A11" s="69" t="str">
        <f>Source!E24</f>
        <v>1</v>
      </c>
      <c r="B11" s="70" t="str">
        <f>Source!F24</f>
        <v>58-3-1</v>
      </c>
      <c r="C11" s="71" t="str">
        <f>Source!G24</f>
        <v>Разборка мелких покрытий и обделок из листовой стали поясков, сандриков, желобов, отливов, свесов и т.п. (парапеты)</v>
      </c>
      <c r="D11" s="72" t="str">
        <f>Source!H24</f>
        <v>100 м</v>
      </c>
      <c r="E11" s="73"/>
      <c r="F11" s="74"/>
      <c r="G11" s="75">
        <f>Source!I24</f>
        <v>3.6</v>
      </c>
    </row>
    <row r="12" spans="1:7">
      <c r="A12" s="69">
        <v>1.1000000000000001</v>
      </c>
      <c r="B12" s="71" t="str">
        <f>SmtRes!I3</f>
        <v>01.7.07.07</v>
      </c>
      <c r="C12" s="71" t="str">
        <f>SmtRes!K3</f>
        <v>Строительный мусор</v>
      </c>
      <c r="D12" s="76" t="str">
        <f>SmtRes!O3</f>
        <v>т</v>
      </c>
      <c r="E12" s="73">
        <f>SmtRes!AT3</f>
        <v>0.12</v>
      </c>
      <c r="F12" s="74" t="str">
        <f>SmtRes!AU3</f>
        <v/>
      </c>
      <c r="G12" s="73">
        <f>SmtRes!Y3*Source!I24</f>
        <v>0.432</v>
      </c>
    </row>
    <row r="13" spans="1:7">
      <c r="A13" s="69" t="str">
        <f>Source!E26</f>
        <v>2</v>
      </c>
      <c r="B13" s="70" t="str">
        <f>Source!F26</f>
        <v>46-04-008-01</v>
      </c>
      <c r="C13" s="71" t="str">
        <f>Source!G26</f>
        <v>Разборка водоизоляционного слоя примыканий (прим.)</v>
      </c>
      <c r="D13" s="72" t="str">
        <f>Source!H26</f>
        <v>100 м2</v>
      </c>
      <c r="E13" s="73"/>
      <c r="F13" s="74"/>
      <c r="G13" s="75">
        <f>Source!I26</f>
        <v>2.16</v>
      </c>
    </row>
    <row r="14" spans="1:7" ht="24">
      <c r="A14" s="69" t="str">
        <f>Source!E27</f>
        <v>3</v>
      </c>
      <c r="B14" s="70" t="str">
        <f>Source!F27</f>
        <v>58-7-1</v>
      </c>
      <c r="C14" s="71" t="str">
        <f>Source!G27</f>
        <v>Ремонт отдельными местами рулонного покрытия с заменой 1 слоя</v>
      </c>
      <c r="D14" s="72" t="str">
        <f>Source!H27</f>
        <v>100 м2</v>
      </c>
      <c r="E14" s="73"/>
      <c r="F14" s="74"/>
      <c r="G14" s="75">
        <f>Source!I27</f>
        <v>28</v>
      </c>
    </row>
    <row r="15" spans="1:7">
      <c r="A15" s="69">
        <v>3.1</v>
      </c>
      <c r="B15" s="71" t="str">
        <f>SmtRes!I11</f>
        <v>01.2.03.03-0013</v>
      </c>
      <c r="C15" s="71" t="str">
        <f>SmtRes!K11</f>
        <v>Мастика битумная кровельная горячая</v>
      </c>
      <c r="D15" s="76" t="str">
        <f>SmtRes!O11</f>
        <v>т</v>
      </c>
      <c r="E15" s="73">
        <f>SmtRes!AT11</f>
        <v>0.33</v>
      </c>
      <c r="F15" s="74" t="str">
        <f>SmtRes!AU11</f>
        <v/>
      </c>
      <c r="G15" s="73">
        <f>SmtRes!Y11*Source!I27</f>
        <v>9.24</v>
      </c>
    </row>
    <row r="16" spans="1:7">
      <c r="A16" s="69">
        <v>3.2</v>
      </c>
      <c r="B16" s="71" t="str">
        <f>SmtRes!I12</f>
        <v>01.7.07.07</v>
      </c>
      <c r="C16" s="71" t="str">
        <f>SmtRes!K12</f>
        <v>Строительный мусор</v>
      </c>
      <c r="D16" s="76" t="str">
        <f>SmtRes!O12</f>
        <v>т</v>
      </c>
      <c r="E16" s="73">
        <f>SmtRes!AT12</f>
        <v>0.34</v>
      </c>
      <c r="F16" s="74" t="str">
        <f>SmtRes!AU12</f>
        <v/>
      </c>
      <c r="G16" s="73">
        <f>SmtRes!Y12*Source!I27</f>
        <v>9.5200000000000014</v>
      </c>
    </row>
    <row r="17" spans="1:7">
      <c r="A17" s="69">
        <v>3.3</v>
      </c>
      <c r="B17" s="71" t="str">
        <f>SmtRes!I13</f>
        <v>12.1.02.03-0192</v>
      </c>
      <c r="C17" s="71" t="str">
        <f>SmtRes!K13</f>
        <v>Техноэласт ЭКП</v>
      </c>
      <c r="D17" s="76" t="str">
        <f>SmtRes!O13</f>
        <v>м2</v>
      </c>
      <c r="E17" s="73">
        <f>SmtRes!AT13</f>
        <v>115</v>
      </c>
      <c r="F17" s="74" t="str">
        <f>SmtRes!AU13</f>
        <v/>
      </c>
      <c r="G17" s="73">
        <f>SmtRes!Y13*Source!I27</f>
        <v>3220</v>
      </c>
    </row>
    <row r="18" spans="1:7" ht="24">
      <c r="A18" s="69" t="str">
        <f>Source!E30</f>
        <v>4</v>
      </c>
      <c r="B18" s="70" t="str">
        <f>Source!F30</f>
        <v>07-05-039-06</v>
      </c>
      <c r="C18" s="71" t="s">
        <v>52</v>
      </c>
      <c r="D18" s="72" t="str">
        <f>Source!H30</f>
        <v>100 м</v>
      </c>
      <c r="E18" s="73"/>
      <c r="F18" s="74"/>
      <c r="G18" s="75">
        <f>Source!I30</f>
        <v>3.6</v>
      </c>
    </row>
    <row r="19" spans="1:7" ht="24">
      <c r="A19" s="69">
        <v>4.0999999999999996</v>
      </c>
      <c r="B19" s="71" t="str">
        <f>SmtRes!I19</f>
        <v>14.5.04.07-0013</v>
      </c>
      <c r="C19" s="71" t="str">
        <f>SmtRes!K19</f>
        <v>Мастика тиоколовая строительного назначения, марки КБ-0,5</v>
      </c>
      <c r="D19" s="76" t="str">
        <f>SmtRes!O19</f>
        <v>кг</v>
      </c>
      <c r="E19" s="73">
        <f>SmtRes!AT19</f>
        <v>20.9</v>
      </c>
      <c r="F19" s="74" t="str">
        <f>SmtRes!AU19</f>
        <v/>
      </c>
      <c r="G19" s="73">
        <f>SmtRes!Y19*Source!I30</f>
        <v>75.239999999999995</v>
      </c>
    </row>
    <row r="20" spans="1:7">
      <c r="A20" s="69" t="str">
        <f>Source!E31</f>
        <v>5</v>
      </c>
      <c r="B20" s="70" t="str">
        <f>Source!F31</f>
        <v>58-16-3</v>
      </c>
      <c r="C20" s="71" t="str">
        <f>Source!G31</f>
        <v>Ремонт цементной стяжки площадью заделки до 1,0 м2</v>
      </c>
      <c r="D20" s="72" t="str">
        <f>Source!H31</f>
        <v>100 мест</v>
      </c>
      <c r="E20" s="73"/>
      <c r="F20" s="74"/>
      <c r="G20" s="75">
        <f>Source!I31</f>
        <v>8.58</v>
      </c>
    </row>
    <row r="21" spans="1:7">
      <c r="A21" s="69">
        <v>5.0999999999999996</v>
      </c>
      <c r="B21" s="71" t="str">
        <f>SmtRes!I24</f>
        <v>01.7.07.07</v>
      </c>
      <c r="C21" s="71" t="str">
        <f>SmtRes!K24</f>
        <v>Строительный мусор</v>
      </c>
      <c r="D21" s="76" t="str">
        <f>SmtRes!O24</f>
        <v>т</v>
      </c>
      <c r="E21" s="73">
        <f>SmtRes!AT24</f>
        <v>1.48</v>
      </c>
      <c r="F21" s="74" t="str">
        <f>SmtRes!AU24</f>
        <v/>
      </c>
      <c r="G21" s="73">
        <f>SmtRes!Y24*Source!I31</f>
        <v>12.698399999999999</v>
      </c>
    </row>
    <row r="22" spans="1:7" ht="24">
      <c r="A22" s="69">
        <v>5.2</v>
      </c>
      <c r="B22" s="71" t="str">
        <f>SmtRes!I25</f>
        <v>03.2.01.01-0001</v>
      </c>
      <c r="C22" s="71" t="str">
        <f>SmtRes!K25</f>
        <v>Портландцемент общестроительного назначения бездобавочный, марки 400</v>
      </c>
      <c r="D22" s="76" t="str">
        <f>SmtRes!O25</f>
        <v>т</v>
      </c>
      <c r="E22" s="73">
        <f>SmtRes!AT25</f>
        <v>2.1000000000000001E-2</v>
      </c>
      <c r="F22" s="74" t="str">
        <f>SmtRes!AU25</f>
        <v/>
      </c>
      <c r="G22" s="73">
        <f>SmtRes!Y25*Source!I31</f>
        <v>0.18018000000000001</v>
      </c>
    </row>
    <row r="23" spans="1:7">
      <c r="A23" s="69">
        <v>5.3</v>
      </c>
      <c r="B23" s="71" t="str">
        <f>SmtRes!I26</f>
        <v>04.3.01.09-0014</v>
      </c>
      <c r="C23" s="71" t="str">
        <f>SmtRes!K26</f>
        <v>Раствор готовый кладочный цементный марки 100</v>
      </c>
      <c r="D23" s="76" t="str">
        <f>SmtRes!O26</f>
        <v>м3</v>
      </c>
      <c r="E23" s="73">
        <f>SmtRes!AT26</f>
        <v>2.14</v>
      </c>
      <c r="F23" s="74" t="str">
        <f>SmtRes!AU26</f>
        <v/>
      </c>
      <c r="G23" s="73">
        <f>SmtRes!Y26*Source!I31</f>
        <v>18.3612</v>
      </c>
    </row>
    <row r="24" spans="1:7">
      <c r="A24" s="69" t="str">
        <f>Source!E35</f>
        <v>6</v>
      </c>
      <c r="B24" s="70" t="str">
        <f>Source!F35</f>
        <v>46-03-010-03</v>
      </c>
      <c r="C24" s="71" t="str">
        <f>Source!G35</f>
        <v>Сверление отверстий под аэраторы (прим.)</v>
      </c>
      <c r="D24" s="72" t="str">
        <f>Source!H35</f>
        <v>100 ШТ</v>
      </c>
      <c r="E24" s="73"/>
      <c r="F24" s="74"/>
      <c r="G24" s="75">
        <f>Source!I35</f>
        <v>0.3</v>
      </c>
    </row>
    <row r="25" spans="1:7">
      <c r="A25" s="69" t="str">
        <f>Source!E36</f>
        <v>7</v>
      </c>
      <c r="B25" s="70" t="str">
        <f>Source!F36</f>
        <v>20-02-012-01</v>
      </c>
      <c r="C25" s="71" t="s">
        <v>82</v>
      </c>
      <c r="D25" s="72" t="str">
        <f>Source!H36</f>
        <v>ШТ</v>
      </c>
      <c r="E25" s="73"/>
      <c r="F25" s="74"/>
      <c r="G25" s="75">
        <f>Source!I36</f>
        <v>3</v>
      </c>
    </row>
    <row r="26" spans="1:7" ht="24">
      <c r="A26" s="69">
        <v>7.1</v>
      </c>
      <c r="B26" s="71" t="str">
        <f>SmtRes!I34</f>
        <v>01.1.01.09-0026</v>
      </c>
      <c r="C26" s="71" t="str">
        <f>SmtRes!K34</f>
        <v>Шнур асбестовый общего назначения марки ШАОН диаметром 8-10 мм</v>
      </c>
      <c r="D26" s="76" t="str">
        <f>SmtRes!O34</f>
        <v>т</v>
      </c>
      <c r="E26" s="73">
        <f>SmtRes!AT34</f>
        <v>5.0000000000000002E-5</v>
      </c>
      <c r="F26" s="74" t="str">
        <f>SmtRes!AU34</f>
        <v/>
      </c>
      <c r="G26" s="73">
        <f>SmtRes!Y34*Source!I36</f>
        <v>1.5000000000000001E-4</v>
      </c>
    </row>
    <row r="27" spans="1:7">
      <c r="A27" s="69">
        <v>7.2</v>
      </c>
      <c r="B27" s="71" t="str">
        <f>SmtRes!I35</f>
        <v>01.7.15.03-0041</v>
      </c>
      <c r="C27" s="71" t="str">
        <f>SmtRes!K35</f>
        <v>Болты с гайками и шайбами строительные</v>
      </c>
      <c r="D27" s="76" t="str">
        <f>SmtRes!O35</f>
        <v>т</v>
      </c>
      <c r="E27" s="73">
        <f>SmtRes!AT35</f>
        <v>3.0000000000000001E-5</v>
      </c>
      <c r="F27" s="74" t="str">
        <f>SmtRes!AU35</f>
        <v/>
      </c>
      <c r="G27" s="73">
        <f>SmtRes!Y35*Source!I36</f>
        <v>9.0000000000000006E-5</v>
      </c>
    </row>
    <row r="28" spans="1:7" ht="24">
      <c r="A28" s="69">
        <v>7.3</v>
      </c>
      <c r="B28" s="71" t="str">
        <f>SmtRes!I36</f>
        <v>01.7.19.04-0031</v>
      </c>
      <c r="C28" s="71" t="str">
        <f>SmtRes!K36</f>
        <v>Прокладки резиновые (пластина техническая прессованная)</v>
      </c>
      <c r="D28" s="76" t="str">
        <f>SmtRes!O36</f>
        <v>кг</v>
      </c>
      <c r="E28" s="73">
        <f>SmtRes!AT36</f>
        <v>0.115</v>
      </c>
      <c r="F28" s="74" t="str">
        <f>SmtRes!AU36</f>
        <v/>
      </c>
      <c r="G28" s="73">
        <f>SmtRes!Y36*Source!I36</f>
        <v>0.34500000000000003</v>
      </c>
    </row>
    <row r="29" spans="1:7">
      <c r="A29" s="69">
        <v>7.4</v>
      </c>
      <c r="B29" s="71" t="str">
        <f>SmtRes!I37</f>
        <v>12.1.01.01-0002</v>
      </c>
      <c r="C29" s="71" t="str">
        <f>SmtRes!K37</f>
        <v>Аэратор пластиковый для плоских кровель</v>
      </c>
      <c r="D29" s="76" t="str">
        <f>SmtRes!O37</f>
        <v>шт.</v>
      </c>
      <c r="E29" s="73">
        <f>SmtRes!AT37</f>
        <v>1</v>
      </c>
      <c r="F29" s="74" t="str">
        <f>SmtRes!AU37</f>
        <v/>
      </c>
      <c r="G29" s="73">
        <f>SmtRes!Y37*Source!I36</f>
        <v>3</v>
      </c>
    </row>
    <row r="30" spans="1:7">
      <c r="A30" s="69" t="str">
        <f>Source!E38</f>
        <v>8</v>
      </c>
      <c r="B30" s="70" t="str">
        <f>Source!F38</f>
        <v>13-06-004-01</v>
      </c>
      <c r="C30" s="71" t="s">
        <v>94</v>
      </c>
      <c r="D30" s="72" t="str">
        <f>Source!H38</f>
        <v>м2</v>
      </c>
      <c r="E30" s="73"/>
      <c r="F30" s="74"/>
      <c r="G30" s="75">
        <f>Source!I38</f>
        <v>7997</v>
      </c>
    </row>
    <row r="31" spans="1:7" ht="60">
      <c r="A31" s="69" t="str">
        <f>Source!E39</f>
        <v>9</v>
      </c>
      <c r="B31" s="70" t="str">
        <f>Source!F39</f>
        <v>26-01-021-01</v>
      </c>
      <c r="C31" s="71" t="s">
        <v>100</v>
      </c>
      <c r="D31" s="72" t="str">
        <f>Source!H39</f>
        <v>м3</v>
      </c>
      <c r="E31" s="73"/>
      <c r="F31" s="74"/>
      <c r="G31" s="75">
        <f>Source!I39</f>
        <v>123</v>
      </c>
    </row>
    <row r="32" spans="1:7">
      <c r="A32" s="69">
        <v>9.1</v>
      </c>
      <c r="B32" s="71" t="str">
        <f>SmtRes!I43</f>
        <v>01.7.06.03-0022</v>
      </c>
      <c r="C32" s="71" t="str">
        <f>SmtRes!K43</f>
        <v>Лента полиэтиленовая с липким слоем А50</v>
      </c>
      <c r="D32" s="76" t="str">
        <f>SmtRes!O43</f>
        <v>кг</v>
      </c>
      <c r="E32" s="73">
        <f>SmtRes!AT43</f>
        <v>0.52600000000000002</v>
      </c>
      <c r="F32" s="74" t="str">
        <f>SmtRes!AU43</f>
        <v/>
      </c>
      <c r="G32" s="73">
        <f>SmtRes!Y43*Source!I39</f>
        <v>64.698000000000008</v>
      </c>
    </row>
    <row r="33" spans="1:7">
      <c r="A33" s="69">
        <v>9.1999999999999993</v>
      </c>
      <c r="B33" s="71" t="str">
        <f>SmtRes!I44</f>
        <v>01.7.07.12-0024</v>
      </c>
      <c r="C33" s="71" t="str">
        <f>SmtRes!K44</f>
        <v>Пленка полиэтиленовая толщиной 0,15 мм</v>
      </c>
      <c r="D33" s="76" t="str">
        <f>SmtRes!O44</f>
        <v>м2</v>
      </c>
      <c r="E33" s="73">
        <f>SmtRes!AT44</f>
        <v>3</v>
      </c>
      <c r="F33" s="74" t="str">
        <f>SmtRes!AU44</f>
        <v/>
      </c>
      <c r="G33" s="73">
        <f>SmtRes!Y44*Source!I39</f>
        <v>369</v>
      </c>
    </row>
    <row r="34" spans="1:7" ht="24">
      <c r="A34" s="69">
        <v>9.3000000000000007</v>
      </c>
      <c r="B34" s="71" t="str">
        <f>SmtRes!I45</f>
        <v>08.3.03.04-0021</v>
      </c>
      <c r="C34" s="71" t="str">
        <f>SmtRes!K45</f>
        <v>Проволока стальная низкоуглеродистая общего назначения диаметром 0,8 мм</v>
      </c>
      <c r="D34" s="76" t="str">
        <f>SmtRes!O45</f>
        <v>кг</v>
      </c>
      <c r="E34" s="73">
        <f>SmtRes!AT45</f>
        <v>4.0000000000000002E-4</v>
      </c>
      <c r="F34" s="74" t="str">
        <f>SmtRes!AU45</f>
        <v/>
      </c>
      <c r="G34" s="73">
        <f>SmtRes!Y45*Source!I39</f>
        <v>4.9200000000000001E-2</v>
      </c>
    </row>
    <row r="35" spans="1:7">
      <c r="A35" s="69">
        <v>9.4</v>
      </c>
      <c r="B35" s="71" t="str">
        <f>SmtRes!I48</f>
        <v>12.2.03.15-0021</v>
      </c>
      <c r="C35" s="71" t="str">
        <f>SmtRes!K48</f>
        <v>Диоктилфталат</v>
      </c>
      <c r="D35" s="76" t="str">
        <f>SmtRes!O48</f>
        <v>кг</v>
      </c>
      <c r="E35" s="73">
        <f>SmtRes!AT48</f>
        <v>5</v>
      </c>
      <c r="F35" s="74" t="str">
        <f>SmtRes!AU48</f>
        <v/>
      </c>
      <c r="G35" s="73">
        <f>SmtRes!Y48*Source!I39</f>
        <v>615</v>
      </c>
    </row>
    <row r="36" spans="1:7">
      <c r="A36" s="69">
        <v>9.5</v>
      </c>
      <c r="B36" s="71" t="str">
        <f>SmtRes!I49</f>
        <v>12.2.03.15-0061</v>
      </c>
      <c r="C36" s="71" t="str">
        <f>SmtRes!K49</f>
        <v>Хлорметилен</v>
      </c>
      <c r="D36" s="76" t="str">
        <f>SmtRes!O49</f>
        <v>кг</v>
      </c>
      <c r="E36" s="73">
        <f>SmtRes!AT49</f>
        <v>3</v>
      </c>
      <c r="F36" s="74" t="str">
        <f>SmtRes!AU49</f>
        <v/>
      </c>
      <c r="G36" s="73">
        <f>SmtRes!Y49*Source!I39</f>
        <v>369</v>
      </c>
    </row>
    <row r="37" spans="1:7" ht="48">
      <c r="A37" s="69">
        <v>9.6</v>
      </c>
      <c r="B37" s="71" t="str">
        <f>SmtRes!I50</f>
        <v>Прайс</v>
      </c>
      <c r="C37" s="71" t="str">
        <f>SmtRes!K50</f>
        <v>Полиненоуретановая пена с фреоновым вспенивателем горячего напыления плотностью 42-55 кг/м3, теплопроводностью 0,028-0,032 Вт/мК Wetisol SprayFoam-50 или аналог</v>
      </c>
      <c r="D37" s="76" t="str">
        <f>SmtRes!O50</f>
        <v>кг</v>
      </c>
      <c r="E37" s="73">
        <f>SmtRes!AT50</f>
        <v>53.333333000000003</v>
      </c>
      <c r="F37" s="74" t="str">
        <f>SmtRes!AU50</f>
        <v/>
      </c>
      <c r="G37" s="77">
        <f>SmtRes!Y50*Source!I39</f>
        <v>6559.9999590000007</v>
      </c>
    </row>
    <row r="38" spans="1:7" ht="36">
      <c r="A38" s="69" t="str">
        <f>Source!E43</f>
        <v>10</v>
      </c>
      <c r="B38" s="70" t="str">
        <f>Source!F43</f>
        <v>26-01-021-01</v>
      </c>
      <c r="C38" s="71" t="s">
        <v>118</v>
      </c>
      <c r="D38" s="72" t="str">
        <f>Source!H43</f>
        <v>м3</v>
      </c>
      <c r="E38" s="73"/>
      <c r="F38" s="74"/>
      <c r="G38" s="75">
        <f>Source!I43</f>
        <v>15.994</v>
      </c>
    </row>
    <row r="39" spans="1:7">
      <c r="A39" s="69">
        <v>10.1</v>
      </c>
      <c r="B39" s="71" t="str">
        <f>SmtRes!I55</f>
        <v>01.7.06.03-0022</v>
      </c>
      <c r="C39" s="71" t="str">
        <f>SmtRes!K55</f>
        <v>Лента полиэтиленовая с липким слоем А50</v>
      </c>
      <c r="D39" s="76" t="str">
        <f>SmtRes!O55</f>
        <v>кг</v>
      </c>
      <c r="E39" s="73">
        <f>SmtRes!AT55</f>
        <v>0.52600000000000002</v>
      </c>
      <c r="F39" s="74" t="str">
        <f>SmtRes!AU55</f>
        <v/>
      </c>
      <c r="G39" s="73">
        <f>SmtRes!Y55*Source!I43</f>
        <v>8.4128439999999998</v>
      </c>
    </row>
    <row r="40" spans="1:7">
      <c r="A40" s="69">
        <v>10.199999999999999</v>
      </c>
      <c r="B40" s="71" t="str">
        <f>SmtRes!I56</f>
        <v>01.7.07.12-0024</v>
      </c>
      <c r="C40" s="71" t="str">
        <f>SmtRes!K56</f>
        <v>Пленка полиэтиленовая толщиной 0,15 мм</v>
      </c>
      <c r="D40" s="76" t="str">
        <f>SmtRes!O56</f>
        <v>м2</v>
      </c>
      <c r="E40" s="73">
        <f>SmtRes!AT56</f>
        <v>3</v>
      </c>
      <c r="F40" s="74" t="str">
        <f>SmtRes!AU56</f>
        <v/>
      </c>
      <c r="G40" s="73">
        <f>SmtRes!Y56*Source!I43</f>
        <v>47.981999999999999</v>
      </c>
    </row>
    <row r="41" spans="1:7" ht="24">
      <c r="A41" s="69">
        <v>10.3</v>
      </c>
      <c r="B41" s="71" t="str">
        <f>SmtRes!I57</f>
        <v>08.3.03.04-0021</v>
      </c>
      <c r="C41" s="71" t="str">
        <f>SmtRes!K57</f>
        <v>Проволока стальная низкоуглеродистая общего назначения диаметром 0,8 мм</v>
      </c>
      <c r="D41" s="76" t="str">
        <f>SmtRes!O57</f>
        <v>кг</v>
      </c>
      <c r="E41" s="73">
        <f>SmtRes!AT57</f>
        <v>4.0000000000000002E-4</v>
      </c>
      <c r="F41" s="74" t="str">
        <f>SmtRes!AU57</f>
        <v/>
      </c>
      <c r="G41" s="73">
        <f>SmtRes!Y57*Source!I43</f>
        <v>6.3975999999999998E-3</v>
      </c>
    </row>
    <row r="42" spans="1:7">
      <c r="A42" s="69">
        <v>10.4</v>
      </c>
      <c r="B42" s="71" t="str">
        <f>SmtRes!I60</f>
        <v>12.2.03.15-0021</v>
      </c>
      <c r="C42" s="71" t="str">
        <f>SmtRes!K60</f>
        <v>Диоктилфталат</v>
      </c>
      <c r="D42" s="76" t="str">
        <f>SmtRes!O60</f>
        <v>кг</v>
      </c>
      <c r="E42" s="73">
        <f>SmtRes!AT60</f>
        <v>5</v>
      </c>
      <c r="F42" s="74" t="str">
        <f>SmtRes!AU60</f>
        <v/>
      </c>
      <c r="G42" s="73">
        <f>SmtRes!Y60*Source!I43</f>
        <v>79.97</v>
      </c>
    </row>
    <row r="43" spans="1:7">
      <c r="A43" s="69">
        <v>10.5</v>
      </c>
      <c r="B43" s="71" t="str">
        <f>SmtRes!I61</f>
        <v>12.2.03.15-0061</v>
      </c>
      <c r="C43" s="71" t="str">
        <f>SmtRes!K61</f>
        <v>Хлорметилен</v>
      </c>
      <c r="D43" s="76" t="str">
        <f>SmtRes!O61</f>
        <v>кг</v>
      </c>
      <c r="E43" s="73">
        <f>SmtRes!AT61</f>
        <v>3</v>
      </c>
      <c r="F43" s="74" t="str">
        <f>SmtRes!AU61</f>
        <v/>
      </c>
      <c r="G43" s="73">
        <f>SmtRes!Y61*Source!I43</f>
        <v>47.981999999999999</v>
      </c>
    </row>
    <row r="44" spans="1:7" ht="60">
      <c r="A44" s="69">
        <v>10.6</v>
      </c>
      <c r="B44" s="71" t="str">
        <f>SmtRes!I62</f>
        <v>Прайс</v>
      </c>
      <c r="C44" s="71" t="str">
        <f>SmtRes!K62</f>
        <v>Полимочевина (поликарбомид) ароматическая:КМ2, удлинение при разрыве 350-400мм, прочность на разрыв не менее 20Мпа, твердость по Шору не менее 45 ед, истираемость по таберу не более 26 мг. Wetosol Spray-400 или аналог</v>
      </c>
      <c r="D44" s="76" t="str">
        <f>SmtRes!O62</f>
        <v>кг</v>
      </c>
      <c r="E44" s="73">
        <f>SmtRes!AT62</f>
        <v>1100</v>
      </c>
      <c r="F44" s="74" t="str">
        <f>SmtRes!AU62</f>
        <v/>
      </c>
      <c r="G44" s="73">
        <f>SmtRes!Y62*Source!I43</f>
        <v>17593.400000000001</v>
      </c>
    </row>
    <row r="45" spans="1:7" ht="24">
      <c r="A45" s="69" t="str">
        <f>Source!E47</f>
        <v>11</v>
      </c>
      <c r="B45" s="70" t="str">
        <f>Source!F47</f>
        <v>26-01-021-01</v>
      </c>
      <c r="C45" s="71" t="s">
        <v>125</v>
      </c>
      <c r="D45" s="72" t="str">
        <f>Source!H47</f>
        <v>м3</v>
      </c>
      <c r="E45" s="73"/>
      <c r="F45" s="74"/>
      <c r="G45" s="75">
        <f>Source!I47</f>
        <v>2.39</v>
      </c>
    </row>
    <row r="46" spans="1:7">
      <c r="A46" s="69">
        <v>11.1</v>
      </c>
      <c r="B46" s="71" t="str">
        <f>SmtRes!I67</f>
        <v>01.7.06.03-0022</v>
      </c>
      <c r="C46" s="71" t="str">
        <f>SmtRes!K67</f>
        <v>Лента полиэтиленовая с липким слоем А50</v>
      </c>
      <c r="D46" s="76" t="str">
        <f>SmtRes!O67</f>
        <v>кг</v>
      </c>
      <c r="E46" s="73">
        <f>SmtRes!AT67</f>
        <v>0.52600000000000002</v>
      </c>
      <c r="F46" s="74" t="str">
        <f>SmtRes!AU67</f>
        <v/>
      </c>
      <c r="G46" s="73">
        <f>SmtRes!Y67*Source!I47</f>
        <v>1.2571400000000001</v>
      </c>
    </row>
    <row r="47" spans="1:7">
      <c r="A47" s="69">
        <v>11.2</v>
      </c>
      <c r="B47" s="71" t="str">
        <f>SmtRes!I68</f>
        <v>01.7.07.12-0024</v>
      </c>
      <c r="C47" s="71" t="str">
        <f>SmtRes!K68</f>
        <v>Пленка полиэтиленовая толщиной 0,15 мм</v>
      </c>
      <c r="D47" s="76" t="str">
        <f>SmtRes!O68</f>
        <v>м2</v>
      </c>
      <c r="E47" s="73">
        <f>SmtRes!AT68</f>
        <v>3</v>
      </c>
      <c r="F47" s="74" t="str">
        <f>SmtRes!AU68</f>
        <v/>
      </c>
      <c r="G47" s="73">
        <f>SmtRes!Y68*Source!I47</f>
        <v>7.17</v>
      </c>
    </row>
    <row r="48" spans="1:7" ht="24">
      <c r="A48" s="69">
        <v>11.3</v>
      </c>
      <c r="B48" s="71" t="str">
        <f>SmtRes!I69</f>
        <v>08.3.03.04-0021</v>
      </c>
      <c r="C48" s="71" t="str">
        <f>SmtRes!K69</f>
        <v>Проволока стальная низкоуглеродистая общего назначения диаметром 0,8 мм</v>
      </c>
      <c r="D48" s="76" t="str">
        <f>SmtRes!O69</f>
        <v>кг</v>
      </c>
      <c r="E48" s="73">
        <f>SmtRes!AT69</f>
        <v>4.0000000000000002E-4</v>
      </c>
      <c r="F48" s="74" t="str">
        <f>SmtRes!AU69</f>
        <v/>
      </c>
      <c r="G48" s="73">
        <f>SmtRes!Y69*Source!I47</f>
        <v>9.5600000000000014E-4</v>
      </c>
    </row>
    <row r="49" spans="1:7">
      <c r="A49" s="69">
        <v>11.4</v>
      </c>
      <c r="B49" s="71" t="str">
        <f>SmtRes!I72</f>
        <v>12.2.03.15-0021</v>
      </c>
      <c r="C49" s="71" t="str">
        <f>SmtRes!K72</f>
        <v>Диоктилфталат</v>
      </c>
      <c r="D49" s="76" t="str">
        <f>SmtRes!O72</f>
        <v>кг</v>
      </c>
      <c r="E49" s="73">
        <f>SmtRes!AT72</f>
        <v>5</v>
      </c>
      <c r="F49" s="74" t="str">
        <f>SmtRes!AU72</f>
        <v/>
      </c>
      <c r="G49" s="73">
        <f>SmtRes!Y72*Source!I47</f>
        <v>11.950000000000001</v>
      </c>
    </row>
    <row r="50" spans="1:7">
      <c r="A50" s="69">
        <v>11.5</v>
      </c>
      <c r="B50" s="71" t="str">
        <f>SmtRes!I73</f>
        <v>12.2.03.15-0061</v>
      </c>
      <c r="C50" s="71" t="str">
        <f>SmtRes!K73</f>
        <v>Хлорметилен</v>
      </c>
      <c r="D50" s="76" t="str">
        <f>SmtRes!O73</f>
        <v>кг</v>
      </c>
      <c r="E50" s="73">
        <f>SmtRes!AT73</f>
        <v>3</v>
      </c>
      <c r="F50" s="74" t="str">
        <f>SmtRes!AU73</f>
        <v/>
      </c>
      <c r="G50" s="73">
        <f>SmtRes!Y73*Source!I47</f>
        <v>7.17</v>
      </c>
    </row>
    <row r="51" spans="1:7">
      <c r="A51" s="69">
        <v>11.6</v>
      </c>
      <c r="B51" s="71" t="str">
        <f>SmtRes!I74</f>
        <v>Прайс</v>
      </c>
      <c r="C51" s="71" t="str">
        <f>SmtRes!K74</f>
        <v>УФ-стойкое покрытие Wetisol Spray-400 UV или аналог</v>
      </c>
      <c r="D51" s="76" t="str">
        <f>SmtRes!O74</f>
        <v>кг</v>
      </c>
      <c r="E51" s="73">
        <f>SmtRes!AT74</f>
        <v>1101.564854</v>
      </c>
      <c r="F51" s="74" t="str">
        <f>SmtRes!AU74</f>
        <v/>
      </c>
      <c r="G51" s="73">
        <f>SmtRes!Y74*Source!I47</f>
        <v>2632.7400010599999</v>
      </c>
    </row>
    <row r="52" spans="1:7">
      <c r="A52" s="69" t="str">
        <f>Source!E51</f>
        <v>12</v>
      </c>
      <c r="B52" s="70" t="str">
        <f>Source!F51</f>
        <v>12-01-035-02</v>
      </c>
      <c r="C52" s="71" t="s">
        <v>133</v>
      </c>
      <c r="D52" s="72" t="str">
        <f>Source!H51</f>
        <v>шт.</v>
      </c>
      <c r="E52" s="73"/>
      <c r="F52" s="74"/>
      <c r="G52" s="75">
        <f>Source!I51</f>
        <v>16</v>
      </c>
    </row>
    <row r="53" spans="1:7">
      <c r="A53" s="69">
        <v>12.1</v>
      </c>
      <c r="B53" s="71" t="str">
        <f>SmtRes!I76</f>
        <v>08.1.02.01-0002</v>
      </c>
      <c r="C53" s="71" t="str">
        <f>SmtRes!K76</f>
        <v>Воронка водосточная из оцинкованной стали</v>
      </c>
      <c r="D53" s="76" t="str">
        <f>SmtRes!O76</f>
        <v>шт.</v>
      </c>
      <c r="E53" s="73">
        <f>SmtRes!AT76</f>
        <v>1</v>
      </c>
      <c r="F53" s="74" t="str">
        <f>SmtRes!AU76</f>
        <v/>
      </c>
      <c r="G53" s="73">
        <f>SmtRes!Y76*Source!I51</f>
        <v>16</v>
      </c>
    </row>
    <row r="54" spans="1:7" ht="24">
      <c r="A54" s="69" t="str">
        <f>Source!E53</f>
        <v>13</v>
      </c>
      <c r="B54" s="70" t="str">
        <f>Source!F53</f>
        <v>12-01-010-01</v>
      </c>
      <c r="C54" s="71" t="s">
        <v>143</v>
      </c>
      <c r="D54" s="72" t="str">
        <f>Source!H53</f>
        <v>100 м2</v>
      </c>
      <c r="E54" s="73"/>
      <c r="F54" s="74"/>
      <c r="G54" s="75">
        <f>Source!I53</f>
        <v>2.16</v>
      </c>
    </row>
    <row r="55" spans="1:7">
      <c r="A55" s="69">
        <v>13.1</v>
      </c>
      <c r="B55" s="71" t="str">
        <f>SmtRes!I81</f>
        <v>01.7.15.06-0146</v>
      </c>
      <c r="C55" s="71" t="str">
        <f>SmtRes!K81</f>
        <v>Гвозди толевые круглые 3,0х40 мм</v>
      </c>
      <c r="D55" s="76" t="str">
        <f>SmtRes!O81</f>
        <v>т</v>
      </c>
      <c r="E55" s="73">
        <f>SmtRes!AT81</f>
        <v>4.0000000000000001E-3</v>
      </c>
      <c r="F55" s="74" t="str">
        <f>SmtRes!AU81</f>
        <v/>
      </c>
      <c r="G55" s="73">
        <f>SmtRes!Y81*Source!I53</f>
        <v>8.6400000000000001E-3</v>
      </c>
    </row>
    <row r="56" spans="1:7">
      <c r="A56" s="69">
        <v>13.2</v>
      </c>
      <c r="B56" s="71" t="str">
        <f>SmtRes!I82</f>
        <v>08.3.03.05-0002</v>
      </c>
      <c r="C56" s="71" t="str">
        <f>SmtRes!K82</f>
        <v>Проволока канатная оцинкованная, диаметром 3 мм</v>
      </c>
      <c r="D56" s="76" t="str">
        <f>SmtRes!O82</f>
        <v>т</v>
      </c>
      <c r="E56" s="73">
        <f>SmtRes!AT82</f>
        <v>1.2E-2</v>
      </c>
      <c r="F56" s="74" t="str">
        <f>SmtRes!AU82</f>
        <v/>
      </c>
      <c r="G56" s="73">
        <f>SmtRes!Y82*Source!I53</f>
        <v>2.5920000000000002E-2</v>
      </c>
    </row>
    <row r="57" spans="1:7">
      <c r="A57" s="69">
        <v>13.3</v>
      </c>
      <c r="B57" s="71" t="str">
        <f>SmtRes!I83</f>
        <v>08.3.05.05-0053</v>
      </c>
      <c r="C57" s="71" t="str">
        <f>SmtRes!K83</f>
        <v>Сталь листовая оцинкованная толщиной листа 0,7 мм</v>
      </c>
      <c r="D57" s="76" t="str">
        <f>SmtRes!O83</f>
        <v>т</v>
      </c>
      <c r="E57" s="73">
        <f>SmtRes!AT83</f>
        <v>0.78200000000000003</v>
      </c>
      <c r="F57" s="74" t="str">
        <f>SmtRes!AU83</f>
        <v/>
      </c>
      <c r="G57" s="73">
        <f>SmtRes!Y83*Source!I53</f>
        <v>1.6891200000000002</v>
      </c>
    </row>
    <row r="58" spans="1:7" ht="36">
      <c r="A58" s="69" t="str">
        <f>Source!E54</f>
        <v>14</v>
      </c>
      <c r="B58" s="70" t="str">
        <f>Source!F54</f>
        <v>46-08-022-01</v>
      </c>
      <c r="C58" s="71" t="str">
        <f>Source!G54</f>
        <v>Гидроизоляция полиуретановым герметиком без уплотнения пенополиэтиленовым прокладочным шнуром швов по оцинкованному железу</v>
      </c>
      <c r="D58" s="72" t="str">
        <f>Source!H54</f>
        <v>100 м</v>
      </c>
      <c r="E58" s="73"/>
      <c r="F58" s="74"/>
      <c r="G58" s="75">
        <f>Source!I54</f>
        <v>0.87</v>
      </c>
    </row>
    <row r="59" spans="1:7">
      <c r="A59" s="69">
        <v>14.1</v>
      </c>
      <c r="B59" s="71" t="str">
        <f>SmtRes!I87</f>
        <v>14.5.01.06-0011</v>
      </c>
      <c r="C59" s="71" t="str">
        <f>SmtRes!K87</f>
        <v>Герметик полиуретановый</v>
      </c>
      <c r="D59" s="76" t="str">
        <f>SmtRes!O87</f>
        <v>кг</v>
      </c>
      <c r="E59" s="73">
        <f>SmtRes!AT87</f>
        <v>19.5</v>
      </c>
      <c r="F59" s="74" t="str">
        <f>SmtRes!AU87</f>
        <v/>
      </c>
      <c r="G59" s="73">
        <f>SmtRes!Y87*Source!I54</f>
        <v>16.965</v>
      </c>
    </row>
    <row r="60" spans="1:7" ht="24">
      <c r="A60" s="69" t="str">
        <f>Source!E56</f>
        <v>15</v>
      </c>
      <c r="B60" s="70" t="str">
        <f>Source!F56</f>
        <v>т01-01-01-041</v>
      </c>
      <c r="C60" s="71" t="str">
        <f>Source!G56</f>
        <v>Погрузочные работы при автомобильных перевозках мусора строительного с погрузкой вручную</v>
      </c>
      <c r="D60" s="72" t="str">
        <f>Source!H56</f>
        <v>1 Т ГРУЗА</v>
      </c>
      <c r="E60" s="73"/>
      <c r="F60" s="74"/>
      <c r="G60" s="75">
        <f>Source!I56</f>
        <v>21</v>
      </c>
    </row>
    <row r="61" spans="1:7" ht="36">
      <c r="A61" s="69" t="str">
        <f>Source!E57</f>
        <v>16</v>
      </c>
      <c r="B61" s="70" t="str">
        <f>Source!F57</f>
        <v>т03-21-01-033</v>
      </c>
      <c r="C61" s="71" t="str">
        <f>Source!G57</f>
        <v>Перевозка грузов I класса автомобилями-самосвалами грузоподъемностью 10 т работающих вне карьера на расстояние до 33 км</v>
      </c>
      <c r="D61" s="72" t="str">
        <f>Source!H57</f>
        <v>1 Т ГРУЗА</v>
      </c>
      <c r="E61" s="73"/>
      <c r="F61" s="74"/>
      <c r="G61" s="75">
        <f>Source!I57</f>
        <v>21</v>
      </c>
    </row>
    <row r="64" spans="1:7">
      <c r="A64" s="97" t="s">
        <v>455</v>
      </c>
      <c r="B64" s="97"/>
      <c r="C64" s="78" t="str">
        <f>IF(Source!AC12&lt;&gt;"", Source!AC12," ")</f>
        <v>ведущий инженер</v>
      </c>
      <c r="D64" s="78"/>
      <c r="E64" s="78"/>
      <c r="G64" s="78" t="str">
        <f>IF(Source!AB12&lt;&gt;"", Source!AB12," ")</f>
        <v>Высовень А.К.</v>
      </c>
    </row>
    <row r="65" spans="3:6">
      <c r="C65" s="98" t="s">
        <v>456</v>
      </c>
      <c r="D65" s="98"/>
      <c r="E65" s="98"/>
      <c r="F65" s="98"/>
    </row>
  </sheetData>
  <mergeCells count="6">
    <mergeCell ref="A64:B64"/>
    <mergeCell ref="C65:F65"/>
    <mergeCell ref="A2:G2"/>
    <mergeCell ref="A4:G4"/>
    <mergeCell ref="A5:G5"/>
    <mergeCell ref="A7:B7"/>
  </mergeCells>
  <pageMargins left="0.4" right="0.2" top="0.4" bottom="0.4" header="0.2" footer="0.2"/>
  <pageSetup paperSize="9" fitToHeight="0" orientation="portrait" r:id="rId1"/>
  <headerFooter>
    <oddHeader>&amp;L&amp;8АО  "НПЦ газотурбостроения "Салют"  Доп. раб. место  MCCS-0027022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K159"/>
  <sheetViews>
    <sheetView workbookViewId="0">
      <selection activeCell="A155" sqref="A155:AA155"/>
    </sheetView>
  </sheetViews>
  <sheetFormatPr defaultColWidth="9.140625" defaultRowHeight="12.75"/>
  <cols>
    <col min="1" max="256" width="9.140625" customWidth="1"/>
  </cols>
  <sheetData>
    <row r="1" spans="1:133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27022</v>
      </c>
      <c r="M1">
        <v>10</v>
      </c>
    </row>
    <row r="12" spans="1:133">
      <c r="A12" s="1">
        <v>1</v>
      </c>
      <c r="B12" s="1">
        <v>153</v>
      </c>
      <c r="C12" s="1">
        <v>0</v>
      </c>
      <c r="D12" s="1">
        <f>ROW(A95)</f>
        <v>95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7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8</v>
      </c>
      <c r="AC12" s="1" t="s">
        <v>9</v>
      </c>
      <c r="AD12" s="1" t="s">
        <v>10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11</v>
      </c>
      <c r="BI12" s="1" t="s">
        <v>12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13</v>
      </c>
      <c r="BZ12" s="1" t="s">
        <v>14</v>
      </c>
      <c r="CA12" s="1" t="s">
        <v>13</v>
      </c>
      <c r="CB12" s="1" t="s">
        <v>13</v>
      </c>
      <c r="CC12" s="1" t="s">
        <v>13</v>
      </c>
      <c r="CD12" s="1" t="s">
        <v>13</v>
      </c>
      <c r="CE12" s="1" t="s">
        <v>15</v>
      </c>
      <c r="CF12" s="1">
        <v>0</v>
      </c>
      <c r="CG12" s="1">
        <v>0</v>
      </c>
      <c r="CH12" s="1">
        <v>2621448</v>
      </c>
      <c r="CI12" s="1" t="s">
        <v>6</v>
      </c>
      <c r="CJ12" s="1" t="s">
        <v>6</v>
      </c>
      <c r="CK12" s="1">
        <v>2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>
      <c r="A18" s="2">
        <v>52</v>
      </c>
      <c r="B18" s="2">
        <f t="shared" ref="B18:G18" si="0">B95</f>
        <v>153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Новый объект</v>
      </c>
      <c r="G18" s="2" t="str">
        <f t="shared" si="0"/>
        <v>Ремонт кровли корпуса №1, оси 6-25 методом напыления полимочевины. Филиал ВМЗ "Салют"</v>
      </c>
      <c r="H18" s="2"/>
      <c r="I18" s="2"/>
      <c r="J18" s="2"/>
      <c r="K18" s="2"/>
      <c r="L18" s="2"/>
      <c r="M18" s="2"/>
      <c r="N18" s="2"/>
      <c r="O18" s="2">
        <f t="shared" ref="O18:AT18" si="1">O95</f>
        <v>14743870.560000001</v>
      </c>
      <c r="P18" s="2">
        <f t="shared" si="1"/>
        <v>12457828.619999999</v>
      </c>
      <c r="Q18" s="2">
        <f t="shared" si="1"/>
        <v>243081.66</v>
      </c>
      <c r="R18" s="2">
        <f t="shared" si="1"/>
        <v>25036.33</v>
      </c>
      <c r="S18" s="2">
        <f t="shared" si="1"/>
        <v>2042960.28</v>
      </c>
      <c r="T18" s="2">
        <f t="shared" si="1"/>
        <v>0</v>
      </c>
      <c r="U18" s="2">
        <f t="shared" si="1"/>
        <v>8342.321648000001</v>
      </c>
      <c r="V18" s="2">
        <f t="shared" si="1"/>
        <v>84.828400000000002</v>
      </c>
      <c r="W18" s="2">
        <f t="shared" si="1"/>
        <v>0</v>
      </c>
      <c r="X18" s="2">
        <f t="shared" si="1"/>
        <v>1708084.15</v>
      </c>
      <c r="Y18" s="2">
        <f t="shared" si="1"/>
        <v>1011088.96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17477381.780000001</v>
      </c>
      <c r="AS18" s="2">
        <f t="shared" si="1"/>
        <v>17477381.780000001</v>
      </c>
      <c r="AT18" s="2">
        <f t="shared" si="1"/>
        <v>0</v>
      </c>
      <c r="AU18" s="2">
        <f t="shared" ref="AU18:BZ18" si="2">AU95</f>
        <v>0</v>
      </c>
      <c r="AV18" s="2">
        <f t="shared" si="2"/>
        <v>12457828.619999999</v>
      </c>
      <c r="AW18" s="2">
        <f t="shared" si="2"/>
        <v>12457828.619999999</v>
      </c>
      <c r="AX18" s="2">
        <f t="shared" si="2"/>
        <v>0</v>
      </c>
      <c r="AY18" s="2">
        <f t="shared" si="2"/>
        <v>12457828.619999999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CA95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DG95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EM95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FS95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>
      <c r="A20" s="1">
        <v>3</v>
      </c>
      <c r="B20" s="1">
        <v>1</v>
      </c>
      <c r="C20" s="1"/>
      <c r="D20" s="1">
        <f>ROW(A59)</f>
        <v>59</v>
      </c>
      <c r="E20" s="1"/>
      <c r="F20" s="1" t="s">
        <v>16</v>
      </c>
      <c r="G20" s="1" t="s">
        <v>5</v>
      </c>
      <c r="H20" s="1" t="s">
        <v>6</v>
      </c>
      <c r="I20" s="1">
        <v>0</v>
      </c>
      <c r="J20" s="1" t="s">
        <v>7</v>
      </c>
      <c r="K20" s="1">
        <v>-1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45">
      <c r="A22" s="2">
        <v>52</v>
      </c>
      <c r="B22" s="2">
        <f t="shared" ref="B22:G22" si="7">B59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Ремонт кровли корпуса №1, оси 6-25 методом напыления полимочевины. Филиал ВМЗ "Салют"</v>
      </c>
      <c r="H22" s="2"/>
      <c r="I22" s="2"/>
      <c r="J22" s="2"/>
      <c r="K22" s="2"/>
      <c r="L22" s="2"/>
      <c r="M22" s="2"/>
      <c r="N22" s="2"/>
      <c r="O22" s="2">
        <f t="shared" ref="O22:AT22" si="8">O59</f>
        <v>14743870.560000001</v>
      </c>
      <c r="P22" s="2">
        <f t="shared" si="8"/>
        <v>12457828.619999999</v>
      </c>
      <c r="Q22" s="2">
        <f t="shared" si="8"/>
        <v>243081.66</v>
      </c>
      <c r="R22" s="2">
        <f t="shared" si="8"/>
        <v>25036.33</v>
      </c>
      <c r="S22" s="2">
        <f t="shared" si="8"/>
        <v>2042960.28</v>
      </c>
      <c r="T22" s="2">
        <f t="shared" si="8"/>
        <v>0</v>
      </c>
      <c r="U22" s="2">
        <f t="shared" si="8"/>
        <v>8342.321648000001</v>
      </c>
      <c r="V22" s="2">
        <f t="shared" si="8"/>
        <v>84.828400000000002</v>
      </c>
      <c r="W22" s="2">
        <f t="shared" si="8"/>
        <v>0</v>
      </c>
      <c r="X22" s="2">
        <f t="shared" si="8"/>
        <v>1708084.15</v>
      </c>
      <c r="Y22" s="2">
        <f t="shared" si="8"/>
        <v>1011088.96</v>
      </c>
      <c r="Z22" s="2">
        <f t="shared" si="8"/>
        <v>0</v>
      </c>
      <c r="AA22" s="2">
        <f t="shared" si="8"/>
        <v>0</v>
      </c>
      <c r="AB22" s="2">
        <f t="shared" si="8"/>
        <v>14743870.560000001</v>
      </c>
      <c r="AC22" s="2">
        <f t="shared" si="8"/>
        <v>12457828.619999999</v>
      </c>
      <c r="AD22" s="2">
        <f t="shared" si="8"/>
        <v>243081.66</v>
      </c>
      <c r="AE22" s="2">
        <f t="shared" si="8"/>
        <v>25036.33</v>
      </c>
      <c r="AF22" s="2">
        <f t="shared" si="8"/>
        <v>2042960.28</v>
      </c>
      <c r="AG22" s="2">
        <f t="shared" si="8"/>
        <v>0</v>
      </c>
      <c r="AH22" s="2">
        <f t="shared" si="8"/>
        <v>8342.321648000001</v>
      </c>
      <c r="AI22" s="2">
        <f t="shared" si="8"/>
        <v>84.828400000000002</v>
      </c>
      <c r="AJ22" s="2">
        <f t="shared" si="8"/>
        <v>0</v>
      </c>
      <c r="AK22" s="2">
        <f t="shared" si="8"/>
        <v>1708084.15</v>
      </c>
      <c r="AL22" s="2">
        <f t="shared" si="8"/>
        <v>1011088.96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17477381.780000001</v>
      </c>
      <c r="AS22" s="2">
        <f t="shared" si="8"/>
        <v>17477381.780000001</v>
      </c>
      <c r="AT22" s="2">
        <f t="shared" si="8"/>
        <v>0</v>
      </c>
      <c r="AU22" s="2">
        <f t="shared" ref="AU22:BZ22" si="9">AU59</f>
        <v>0</v>
      </c>
      <c r="AV22" s="2">
        <f t="shared" si="9"/>
        <v>12457828.619999999</v>
      </c>
      <c r="AW22" s="2">
        <f t="shared" si="9"/>
        <v>12457828.619999999</v>
      </c>
      <c r="AX22" s="2">
        <f t="shared" si="9"/>
        <v>0</v>
      </c>
      <c r="AY22" s="2">
        <f t="shared" si="9"/>
        <v>12457828.619999999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CA59</f>
        <v>17477381.780000001</v>
      </c>
      <c r="CB22" s="2">
        <f t="shared" si="10"/>
        <v>17477381.780000001</v>
      </c>
      <c r="CC22" s="2">
        <f t="shared" si="10"/>
        <v>0</v>
      </c>
      <c r="CD22" s="2">
        <f t="shared" si="10"/>
        <v>0</v>
      </c>
      <c r="CE22" s="2">
        <f t="shared" si="10"/>
        <v>12457828.619999999</v>
      </c>
      <c r="CF22" s="2">
        <f t="shared" si="10"/>
        <v>12457828.619999999</v>
      </c>
      <c r="CG22" s="2">
        <f t="shared" si="10"/>
        <v>0</v>
      </c>
      <c r="CH22" s="2">
        <f t="shared" si="10"/>
        <v>12457828.619999999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DG59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EM59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FS59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>
      <c r="A24">
        <v>17</v>
      </c>
      <c r="B24">
        <v>1</v>
      </c>
      <c r="C24">
        <f>ROW(SmtRes!A3)</f>
        <v>3</v>
      </c>
      <c r="D24">
        <f>ROW(EtalonRes!A3)</f>
        <v>3</v>
      </c>
      <c r="E24" t="s">
        <v>17</v>
      </c>
      <c r="F24" t="s">
        <v>18</v>
      </c>
      <c r="G24" t="s">
        <v>19</v>
      </c>
      <c r="H24" t="s">
        <v>20</v>
      </c>
      <c r="I24">
        <v>3.6</v>
      </c>
      <c r="J24">
        <v>0</v>
      </c>
      <c r="O24">
        <f t="shared" ref="O24:O55" si="14">ROUND(CP24,2)</f>
        <v>6618.08</v>
      </c>
      <c r="P24">
        <f t="shared" ref="P24:P55" si="15">ROUND(CQ24*I24,2)</f>
        <v>0</v>
      </c>
      <c r="Q24">
        <f t="shared" ref="Q24:Q55" si="16">ROUND(CR24*I24,2)</f>
        <v>2.46</v>
      </c>
      <c r="R24">
        <f t="shared" ref="R24:R55" si="17">ROUND(CS24*I24,2)</f>
        <v>0</v>
      </c>
      <c r="S24">
        <f t="shared" ref="S24:S55" si="18">ROUND(CT24*I24,2)</f>
        <v>6615.62</v>
      </c>
      <c r="T24">
        <f t="shared" ref="T24:T55" si="19">ROUND(CU24*I24,2)</f>
        <v>0</v>
      </c>
      <c r="U24">
        <f t="shared" ref="U24:U55" si="20">CV24*I24</f>
        <v>32.76</v>
      </c>
      <c r="V24">
        <f t="shared" ref="V24:V55" si="21">CW24*I24</f>
        <v>0</v>
      </c>
      <c r="W24">
        <f t="shared" ref="W24:W55" si="22">ROUND(CX24*I24,2)</f>
        <v>0</v>
      </c>
      <c r="X24">
        <f t="shared" ref="X24:X55" si="23">ROUND(CY24,2)</f>
        <v>4697.09</v>
      </c>
      <c r="Y24">
        <f t="shared" ref="Y24:Y55" si="24">ROUND(CZ24,2)</f>
        <v>3440.12</v>
      </c>
      <c r="AA24">
        <v>28315699</v>
      </c>
      <c r="AB24">
        <f t="shared" ref="AB24:AB55" si="25">ROUND((AC24+AD24+AF24),6)</f>
        <v>71.180000000000007</v>
      </c>
      <c r="AC24">
        <f t="shared" ref="AC24:AC55" si="26">ROUND((ES24),6)</f>
        <v>0</v>
      </c>
      <c r="AD24">
        <f t="shared" ref="AD24:AD29" si="27">ROUND((((ET24)-(EU24))+AE24),6)</f>
        <v>0.2</v>
      </c>
      <c r="AE24">
        <f t="shared" ref="AE24:AF29" si="28">ROUND((EU24),6)</f>
        <v>0</v>
      </c>
      <c r="AF24">
        <f t="shared" si="28"/>
        <v>70.98</v>
      </c>
      <c r="AG24">
        <f t="shared" ref="AG24:AG55" si="29">ROUND((AP24),6)</f>
        <v>0</v>
      </c>
      <c r="AH24">
        <f t="shared" ref="AH24:AI29" si="30">(EW24)</f>
        <v>9.1</v>
      </c>
      <c r="AI24">
        <f t="shared" si="30"/>
        <v>0</v>
      </c>
      <c r="AJ24">
        <f t="shared" ref="AJ24:AJ55" si="31">ROUND((AS24),6)</f>
        <v>0</v>
      </c>
      <c r="AK24">
        <v>71.180000000000007</v>
      </c>
      <c r="AL24">
        <v>0</v>
      </c>
      <c r="AM24">
        <v>0.2</v>
      </c>
      <c r="AN24">
        <v>0</v>
      </c>
      <c r="AO24">
        <v>70.98</v>
      </c>
      <c r="AP24">
        <v>0</v>
      </c>
      <c r="AQ24">
        <v>9.1</v>
      </c>
      <c r="AR24">
        <v>0</v>
      </c>
      <c r="AS24">
        <v>0</v>
      </c>
      <c r="AT24">
        <v>71</v>
      </c>
      <c r="AU24">
        <v>52</v>
      </c>
      <c r="AV24">
        <v>1</v>
      </c>
      <c r="AW24">
        <v>1</v>
      </c>
      <c r="AZ24">
        <v>1</v>
      </c>
      <c r="BA24">
        <v>25.89</v>
      </c>
      <c r="BB24">
        <v>3.42</v>
      </c>
      <c r="BC24">
        <v>1</v>
      </c>
      <c r="BD24" t="s">
        <v>6</v>
      </c>
      <c r="BE24" t="s">
        <v>6</v>
      </c>
      <c r="BF24" t="s">
        <v>6</v>
      </c>
      <c r="BG24" t="s">
        <v>6</v>
      </c>
      <c r="BH24">
        <v>0</v>
      </c>
      <c r="BI24">
        <v>1</v>
      </c>
      <c r="BJ24" t="s">
        <v>21</v>
      </c>
      <c r="BM24">
        <v>58001</v>
      </c>
      <c r="BN24">
        <v>0</v>
      </c>
      <c r="BO24" t="s">
        <v>18</v>
      </c>
      <c r="BP24">
        <v>1</v>
      </c>
      <c r="BQ24">
        <v>6</v>
      </c>
      <c r="BR24">
        <v>0</v>
      </c>
      <c r="BS24">
        <v>25.89</v>
      </c>
      <c r="BT24">
        <v>1</v>
      </c>
      <c r="BU24">
        <v>1</v>
      </c>
      <c r="BV24">
        <v>1</v>
      </c>
      <c r="BW24">
        <v>1</v>
      </c>
      <c r="BX24">
        <v>1</v>
      </c>
      <c r="BY24" t="s">
        <v>6</v>
      </c>
      <c r="BZ24">
        <v>83</v>
      </c>
      <c r="CA24">
        <v>65</v>
      </c>
      <c r="CF24">
        <v>0</v>
      </c>
      <c r="CG24">
        <v>0</v>
      </c>
      <c r="CM24">
        <v>0</v>
      </c>
      <c r="CN24" t="s">
        <v>6</v>
      </c>
      <c r="CO24">
        <v>0</v>
      </c>
      <c r="CP24">
        <f t="shared" ref="CP24:CP55" si="32">(P24+Q24+S24)</f>
        <v>6618.08</v>
      </c>
      <c r="CQ24">
        <f t="shared" ref="CQ24:CQ55" si="33">AC24*BC24</f>
        <v>0</v>
      </c>
      <c r="CR24">
        <f t="shared" ref="CR24:CR55" si="34">AD24*BB24</f>
        <v>0.68400000000000005</v>
      </c>
      <c r="CS24">
        <f t="shared" ref="CS24:CS55" si="35">AE24*BS24</f>
        <v>0</v>
      </c>
      <c r="CT24">
        <f t="shared" ref="CT24:CT55" si="36">AF24*BA24</f>
        <v>1837.6722000000002</v>
      </c>
      <c r="CU24">
        <f t="shared" ref="CU24:CU55" si="37">AG24</f>
        <v>0</v>
      </c>
      <c r="CV24">
        <f t="shared" ref="CV24:CV55" si="38">AH24</f>
        <v>9.1</v>
      </c>
      <c r="CW24">
        <f t="shared" ref="CW24:CW55" si="39">AI24</f>
        <v>0</v>
      </c>
      <c r="CX24">
        <f t="shared" ref="CX24:CX55" si="40">AJ24</f>
        <v>0</v>
      </c>
      <c r="CY24">
        <f t="shared" ref="CY24:CY55" si="41">(((S24+R24)*AT24)/100)</f>
        <v>4697.0902000000006</v>
      </c>
      <c r="CZ24">
        <f t="shared" ref="CZ24:CZ55" si="42">(((S24+R24)*AU24)/100)</f>
        <v>3440.1223999999997</v>
      </c>
      <c r="DC24" t="s">
        <v>6</v>
      </c>
      <c r="DD24" t="s">
        <v>6</v>
      </c>
      <c r="DE24" t="s">
        <v>6</v>
      </c>
      <c r="DF24" t="s">
        <v>6</v>
      </c>
      <c r="DG24" t="s">
        <v>6</v>
      </c>
      <c r="DH24" t="s">
        <v>6</v>
      </c>
      <c r="DI24" t="s">
        <v>6</v>
      </c>
      <c r="DJ24" t="s">
        <v>6</v>
      </c>
      <c r="DK24" t="s">
        <v>6</v>
      </c>
      <c r="DL24" t="s">
        <v>6</v>
      </c>
      <c r="DM24" t="s">
        <v>6</v>
      </c>
      <c r="DN24">
        <v>0</v>
      </c>
      <c r="DO24">
        <v>0</v>
      </c>
      <c r="DP24">
        <v>1</v>
      </c>
      <c r="DQ24">
        <v>1</v>
      </c>
      <c r="DU24">
        <v>1003</v>
      </c>
      <c r="DV24" t="s">
        <v>20</v>
      </c>
      <c r="DW24" t="s">
        <v>20</v>
      </c>
      <c r="DX24">
        <v>100</v>
      </c>
      <c r="EE24">
        <v>27463208</v>
      </c>
      <c r="EF24">
        <v>6</v>
      </c>
      <c r="EG24" t="s">
        <v>22</v>
      </c>
      <c r="EH24">
        <v>0</v>
      </c>
      <c r="EI24" t="s">
        <v>6</v>
      </c>
      <c r="EJ24">
        <v>1</v>
      </c>
      <c r="EK24">
        <v>58001</v>
      </c>
      <c r="EL24" t="s">
        <v>23</v>
      </c>
      <c r="EM24" t="s">
        <v>24</v>
      </c>
      <c r="EO24" t="s">
        <v>6</v>
      </c>
      <c r="EQ24">
        <v>0</v>
      </c>
      <c r="ER24">
        <v>71.180000000000007</v>
      </c>
      <c r="ES24">
        <v>0</v>
      </c>
      <c r="ET24">
        <v>0.2</v>
      </c>
      <c r="EU24">
        <v>0</v>
      </c>
      <c r="EV24">
        <v>70.98</v>
      </c>
      <c r="EW24">
        <v>9.1</v>
      </c>
      <c r="EX24">
        <v>0</v>
      </c>
      <c r="EY24">
        <v>0</v>
      </c>
      <c r="FQ24">
        <v>0</v>
      </c>
      <c r="FR24">
        <f t="shared" ref="FR24:FR57" si="43">ROUND(IF(AND(BH24=3,BI24=3),P24,0),2)</f>
        <v>0</v>
      </c>
      <c r="FS24">
        <v>0</v>
      </c>
      <c r="FV24" t="s">
        <v>25</v>
      </c>
      <c r="FW24" t="s">
        <v>26</v>
      </c>
      <c r="FX24">
        <v>83</v>
      </c>
      <c r="FY24">
        <v>65</v>
      </c>
      <c r="GA24" t="s">
        <v>6</v>
      </c>
      <c r="GD24">
        <v>0</v>
      </c>
      <c r="GF24">
        <v>-180329450</v>
      </c>
      <c r="GG24">
        <v>2</v>
      </c>
      <c r="GH24">
        <v>1</v>
      </c>
      <c r="GI24">
        <v>2</v>
      </c>
      <c r="GJ24">
        <v>0</v>
      </c>
      <c r="GK24">
        <f>ROUND(R24*(R12)/100,2)</f>
        <v>0</v>
      </c>
      <c r="GL24">
        <f t="shared" ref="GL24:GL57" si="44">ROUND(IF(AND(BH24=3,BI24=3,FS24&lt;&gt;0),P24,0),2)</f>
        <v>0</v>
      </c>
      <c r="GM24">
        <f t="shared" ref="GM24:GM55" si="45">ROUND(O24+X24+Y24+GK24,2)+GX24</f>
        <v>14755.29</v>
      </c>
      <c r="GN24">
        <f t="shared" ref="GN24:GN55" si="46">IF(OR(BI24=0,BI24=1),ROUND(O24+X24+Y24+GK24,2),0)</f>
        <v>14755.29</v>
      </c>
      <c r="GO24">
        <f t="shared" ref="GO24:GO55" si="47">IF(BI24=2,ROUND(O24+X24+Y24+GK24,2),0)</f>
        <v>0</v>
      </c>
      <c r="GP24">
        <f t="shared" ref="GP24:GP55" si="48">IF(BI24=4,ROUND(O24+X24+Y24+GK24,2)+GX24,0)</f>
        <v>0</v>
      </c>
      <c r="GR24">
        <v>0</v>
      </c>
      <c r="GS24">
        <v>3</v>
      </c>
      <c r="GT24">
        <v>0</v>
      </c>
      <c r="GU24" t="s">
        <v>6</v>
      </c>
      <c r="GV24">
        <f t="shared" ref="GV24:GV55" si="49">ROUND(GT24,6)</f>
        <v>0</v>
      </c>
      <c r="GW24">
        <v>1</v>
      </c>
      <c r="GX24">
        <f t="shared" ref="GX24:GX57" si="50">ROUND(GV24*GW24*I24,2)</f>
        <v>0</v>
      </c>
      <c r="HA24">
        <v>0</v>
      </c>
      <c r="HB24">
        <v>0</v>
      </c>
      <c r="IK24">
        <v>0</v>
      </c>
    </row>
    <row r="25" spans="1:245">
      <c r="A25">
        <v>18</v>
      </c>
      <c r="B25">
        <v>1</v>
      </c>
      <c r="C25">
        <v>3</v>
      </c>
      <c r="E25" t="s">
        <v>27</v>
      </c>
      <c r="F25" t="s">
        <v>28</v>
      </c>
      <c r="G25" t="s">
        <v>29</v>
      </c>
      <c r="H25" t="s">
        <v>30</v>
      </c>
      <c r="I25">
        <f>I24*J25</f>
        <v>0.432</v>
      </c>
      <c r="J25">
        <v>0.12</v>
      </c>
      <c r="O25">
        <f t="shared" si="14"/>
        <v>0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0</v>
      </c>
      <c r="W25">
        <f t="shared" si="22"/>
        <v>0</v>
      </c>
      <c r="X25">
        <f t="shared" si="23"/>
        <v>0</v>
      </c>
      <c r="Y25">
        <f t="shared" si="24"/>
        <v>0</v>
      </c>
      <c r="AA25">
        <v>28315699</v>
      </c>
      <c r="AB25">
        <f t="shared" si="25"/>
        <v>0</v>
      </c>
      <c r="AC25">
        <f t="shared" si="26"/>
        <v>0</v>
      </c>
      <c r="AD25">
        <f t="shared" si="27"/>
        <v>0</v>
      </c>
      <c r="AE25">
        <f t="shared" si="28"/>
        <v>0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0"/>
        <v>0</v>
      </c>
      <c r="AJ25">
        <f t="shared" si="31"/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71</v>
      </c>
      <c r="AU25">
        <v>52</v>
      </c>
      <c r="AV25">
        <v>1</v>
      </c>
      <c r="AW25">
        <v>1</v>
      </c>
      <c r="AZ25">
        <v>1</v>
      </c>
      <c r="BA25">
        <v>1</v>
      </c>
      <c r="BB25">
        <v>1</v>
      </c>
      <c r="BC25">
        <v>1</v>
      </c>
      <c r="BD25" t="s">
        <v>6</v>
      </c>
      <c r="BE25" t="s">
        <v>6</v>
      </c>
      <c r="BF25" t="s">
        <v>6</v>
      </c>
      <c r="BG25" t="s">
        <v>6</v>
      </c>
      <c r="BH25">
        <v>3</v>
      </c>
      <c r="BI25">
        <v>1</v>
      </c>
      <c r="BJ25" t="s">
        <v>6</v>
      </c>
      <c r="BM25">
        <v>58001</v>
      </c>
      <c r="BN25">
        <v>0</v>
      </c>
      <c r="BO25" t="s">
        <v>6</v>
      </c>
      <c r="BP25">
        <v>0</v>
      </c>
      <c r="BQ25">
        <v>6</v>
      </c>
      <c r="BR25">
        <v>0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83</v>
      </c>
      <c r="CA25">
        <v>65</v>
      </c>
      <c r="CF25">
        <v>0</v>
      </c>
      <c r="CG25">
        <v>0</v>
      </c>
      <c r="CM25">
        <v>0</v>
      </c>
      <c r="CN25" t="s">
        <v>6</v>
      </c>
      <c r="CO25">
        <v>0</v>
      </c>
      <c r="CP25">
        <f t="shared" si="32"/>
        <v>0</v>
      </c>
      <c r="CQ25">
        <f t="shared" si="33"/>
        <v>0</v>
      </c>
      <c r="CR25">
        <f t="shared" si="34"/>
        <v>0</v>
      </c>
      <c r="CS25">
        <f t="shared" si="35"/>
        <v>0</v>
      </c>
      <c r="CT25">
        <f t="shared" si="36"/>
        <v>0</v>
      </c>
      <c r="CU25">
        <f t="shared" si="37"/>
        <v>0</v>
      </c>
      <c r="CV25">
        <f t="shared" si="38"/>
        <v>0</v>
      </c>
      <c r="CW25">
        <f t="shared" si="39"/>
        <v>0</v>
      </c>
      <c r="CX25">
        <f t="shared" si="40"/>
        <v>0</v>
      </c>
      <c r="CY25">
        <f t="shared" si="41"/>
        <v>0</v>
      </c>
      <c r="CZ25">
        <f t="shared" si="42"/>
        <v>0</v>
      </c>
      <c r="DC25" t="s">
        <v>6</v>
      </c>
      <c r="DD25" t="s">
        <v>6</v>
      </c>
      <c r="DE25" t="s">
        <v>6</v>
      </c>
      <c r="DF25" t="s">
        <v>6</v>
      </c>
      <c r="DG25" t="s">
        <v>6</v>
      </c>
      <c r="DH25" t="s">
        <v>6</v>
      </c>
      <c r="DI25" t="s">
        <v>6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1009</v>
      </c>
      <c r="DV25" t="s">
        <v>30</v>
      </c>
      <c r="DW25" t="s">
        <v>30</v>
      </c>
      <c r="DX25">
        <v>1000</v>
      </c>
      <c r="EE25">
        <v>27463208</v>
      </c>
      <c r="EF25">
        <v>6</v>
      </c>
      <c r="EG25" t="s">
        <v>22</v>
      </c>
      <c r="EH25">
        <v>0</v>
      </c>
      <c r="EI25" t="s">
        <v>6</v>
      </c>
      <c r="EJ25">
        <v>1</v>
      </c>
      <c r="EK25">
        <v>58001</v>
      </c>
      <c r="EL25" t="s">
        <v>23</v>
      </c>
      <c r="EM25" t="s">
        <v>24</v>
      </c>
      <c r="EO25" t="s">
        <v>6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FQ25">
        <v>0</v>
      </c>
      <c r="FR25">
        <f t="shared" si="43"/>
        <v>0</v>
      </c>
      <c r="FS25">
        <v>0</v>
      </c>
      <c r="FV25" t="s">
        <v>25</v>
      </c>
      <c r="FW25" t="s">
        <v>26</v>
      </c>
      <c r="FX25">
        <v>83</v>
      </c>
      <c r="FY25">
        <v>65</v>
      </c>
      <c r="GA25" t="s">
        <v>31</v>
      </c>
      <c r="GD25">
        <v>0</v>
      </c>
      <c r="GF25">
        <v>-179832266</v>
      </c>
      <c r="GG25">
        <v>2</v>
      </c>
      <c r="GH25">
        <v>1</v>
      </c>
      <c r="GI25">
        <v>-2</v>
      </c>
      <c r="GJ25">
        <v>0</v>
      </c>
      <c r="GK25">
        <f>ROUND(R25*(R12)/100,2)</f>
        <v>0</v>
      </c>
      <c r="GL25">
        <f t="shared" si="44"/>
        <v>0</v>
      </c>
      <c r="GM25">
        <f t="shared" si="45"/>
        <v>0</v>
      </c>
      <c r="GN25">
        <f t="shared" si="46"/>
        <v>0</v>
      </c>
      <c r="GO25">
        <f t="shared" si="47"/>
        <v>0</v>
      </c>
      <c r="GP25">
        <f t="shared" si="48"/>
        <v>0</v>
      </c>
      <c r="GR25">
        <v>0</v>
      </c>
      <c r="GS25">
        <v>4</v>
      </c>
      <c r="GT25">
        <v>0</v>
      </c>
      <c r="GU25" t="s">
        <v>6</v>
      </c>
      <c r="GV25">
        <f t="shared" si="49"/>
        <v>0</v>
      </c>
      <c r="GW25">
        <v>1</v>
      </c>
      <c r="GX25">
        <f t="shared" si="50"/>
        <v>0</v>
      </c>
      <c r="HA25">
        <v>0</v>
      </c>
      <c r="HB25">
        <v>0</v>
      </c>
      <c r="IK25">
        <v>0</v>
      </c>
    </row>
    <row r="26" spans="1:245">
      <c r="A26">
        <v>17</v>
      </c>
      <c r="B26">
        <v>1</v>
      </c>
      <c r="C26">
        <f>ROW(SmtRes!A5)</f>
        <v>5</v>
      </c>
      <c r="D26">
        <f>ROW(EtalonRes!A5)</f>
        <v>5</v>
      </c>
      <c r="E26" t="s">
        <v>32</v>
      </c>
      <c r="F26" t="s">
        <v>33</v>
      </c>
      <c r="G26" t="s">
        <v>34</v>
      </c>
      <c r="H26" t="s">
        <v>35</v>
      </c>
      <c r="I26">
        <v>2.16</v>
      </c>
      <c r="J26">
        <v>0</v>
      </c>
      <c r="O26">
        <f t="shared" si="14"/>
        <v>6562.2</v>
      </c>
      <c r="P26">
        <f t="shared" si="15"/>
        <v>0</v>
      </c>
      <c r="Q26">
        <f t="shared" si="16"/>
        <v>289.94</v>
      </c>
      <c r="R26">
        <f t="shared" si="17"/>
        <v>0</v>
      </c>
      <c r="S26">
        <f t="shared" si="18"/>
        <v>6272.26</v>
      </c>
      <c r="T26">
        <f t="shared" si="19"/>
        <v>0</v>
      </c>
      <c r="U26">
        <f t="shared" si="20"/>
        <v>31.060800000000004</v>
      </c>
      <c r="V26">
        <f t="shared" si="21"/>
        <v>0</v>
      </c>
      <c r="W26">
        <f t="shared" si="22"/>
        <v>0</v>
      </c>
      <c r="X26">
        <f t="shared" si="23"/>
        <v>5895.92</v>
      </c>
      <c r="Y26">
        <f t="shared" si="24"/>
        <v>3010.68</v>
      </c>
      <c r="AA26">
        <v>28315699</v>
      </c>
      <c r="AB26">
        <f t="shared" si="25"/>
        <v>153.59</v>
      </c>
      <c r="AC26">
        <f t="shared" si="26"/>
        <v>0</v>
      </c>
      <c r="AD26">
        <f t="shared" si="27"/>
        <v>41.43</v>
      </c>
      <c r="AE26">
        <f t="shared" si="28"/>
        <v>0</v>
      </c>
      <c r="AF26">
        <f t="shared" si="28"/>
        <v>112.16</v>
      </c>
      <c r="AG26">
        <f t="shared" si="29"/>
        <v>0</v>
      </c>
      <c r="AH26">
        <f t="shared" si="30"/>
        <v>14.38</v>
      </c>
      <c r="AI26">
        <f t="shared" si="30"/>
        <v>0</v>
      </c>
      <c r="AJ26">
        <f t="shared" si="31"/>
        <v>0</v>
      </c>
      <c r="AK26">
        <v>153.59</v>
      </c>
      <c r="AL26">
        <v>0</v>
      </c>
      <c r="AM26">
        <v>41.43</v>
      </c>
      <c r="AN26">
        <v>0</v>
      </c>
      <c r="AO26">
        <v>112.16</v>
      </c>
      <c r="AP26">
        <v>0</v>
      </c>
      <c r="AQ26">
        <v>14.38</v>
      </c>
      <c r="AR26">
        <v>0</v>
      </c>
      <c r="AS26">
        <v>0</v>
      </c>
      <c r="AT26">
        <v>94</v>
      </c>
      <c r="AU26">
        <v>48</v>
      </c>
      <c r="AV26">
        <v>1</v>
      </c>
      <c r="AW26">
        <v>1</v>
      </c>
      <c r="AZ26">
        <v>1</v>
      </c>
      <c r="BA26">
        <v>25.89</v>
      </c>
      <c r="BB26">
        <v>3.24</v>
      </c>
      <c r="BC26">
        <v>1</v>
      </c>
      <c r="BD26" t="s">
        <v>6</v>
      </c>
      <c r="BE26" t="s">
        <v>6</v>
      </c>
      <c r="BF26" t="s">
        <v>6</v>
      </c>
      <c r="BG26" t="s">
        <v>6</v>
      </c>
      <c r="BH26">
        <v>0</v>
      </c>
      <c r="BI26">
        <v>1</v>
      </c>
      <c r="BJ26" t="s">
        <v>36</v>
      </c>
      <c r="BM26">
        <v>46001</v>
      </c>
      <c r="BN26">
        <v>0</v>
      </c>
      <c r="BO26" t="s">
        <v>33</v>
      </c>
      <c r="BP26">
        <v>1</v>
      </c>
      <c r="BQ26">
        <v>2</v>
      </c>
      <c r="BR26">
        <v>0</v>
      </c>
      <c r="BS26">
        <v>25.89</v>
      </c>
      <c r="BT26">
        <v>1</v>
      </c>
      <c r="BU26">
        <v>1</v>
      </c>
      <c r="BV26">
        <v>1</v>
      </c>
      <c r="BW26">
        <v>1</v>
      </c>
      <c r="BX26">
        <v>1</v>
      </c>
      <c r="BY26" t="s">
        <v>6</v>
      </c>
      <c r="BZ26">
        <v>110</v>
      </c>
      <c r="CA26">
        <v>70</v>
      </c>
      <c r="CF26">
        <v>0</v>
      </c>
      <c r="CG26">
        <v>0</v>
      </c>
      <c r="CM26">
        <v>0</v>
      </c>
      <c r="CN26" t="s">
        <v>6</v>
      </c>
      <c r="CO26">
        <v>0</v>
      </c>
      <c r="CP26">
        <f t="shared" si="32"/>
        <v>6562.2</v>
      </c>
      <c r="CQ26">
        <f t="shared" si="33"/>
        <v>0</v>
      </c>
      <c r="CR26">
        <f t="shared" si="34"/>
        <v>134.23320000000001</v>
      </c>
      <c r="CS26">
        <f t="shared" si="35"/>
        <v>0</v>
      </c>
      <c r="CT26">
        <f t="shared" si="36"/>
        <v>2903.8224</v>
      </c>
      <c r="CU26">
        <f t="shared" si="37"/>
        <v>0</v>
      </c>
      <c r="CV26">
        <f t="shared" si="38"/>
        <v>14.38</v>
      </c>
      <c r="CW26">
        <f t="shared" si="39"/>
        <v>0</v>
      </c>
      <c r="CX26">
        <f t="shared" si="40"/>
        <v>0</v>
      </c>
      <c r="CY26">
        <f t="shared" si="41"/>
        <v>5895.9244000000008</v>
      </c>
      <c r="CZ26">
        <f t="shared" si="42"/>
        <v>3010.6848</v>
      </c>
      <c r="DC26" t="s">
        <v>6</v>
      </c>
      <c r="DD26" t="s">
        <v>6</v>
      </c>
      <c r="DE26" t="s">
        <v>6</v>
      </c>
      <c r="DF26" t="s">
        <v>6</v>
      </c>
      <c r="DG26" t="s">
        <v>6</v>
      </c>
      <c r="DH26" t="s">
        <v>6</v>
      </c>
      <c r="DI26" t="s">
        <v>6</v>
      </c>
      <c r="DJ26" t="s">
        <v>6</v>
      </c>
      <c r="DK26" t="s">
        <v>6</v>
      </c>
      <c r="DL26" t="s">
        <v>6</v>
      </c>
      <c r="DM26" t="s">
        <v>6</v>
      </c>
      <c r="DN26">
        <v>0</v>
      </c>
      <c r="DO26">
        <v>0</v>
      </c>
      <c r="DP26">
        <v>1</v>
      </c>
      <c r="DQ26">
        <v>1</v>
      </c>
      <c r="DU26">
        <v>1005</v>
      </c>
      <c r="DV26" t="s">
        <v>35</v>
      </c>
      <c r="DW26" t="s">
        <v>35</v>
      </c>
      <c r="DX26">
        <v>100</v>
      </c>
      <c r="EE26">
        <v>27463193</v>
      </c>
      <c r="EF26">
        <v>2</v>
      </c>
      <c r="EG26" t="s">
        <v>37</v>
      </c>
      <c r="EH26">
        <v>0</v>
      </c>
      <c r="EI26" t="s">
        <v>6</v>
      </c>
      <c r="EJ26">
        <v>1</v>
      </c>
      <c r="EK26">
        <v>46001</v>
      </c>
      <c r="EL26" t="s">
        <v>38</v>
      </c>
      <c r="EM26" t="s">
        <v>39</v>
      </c>
      <c r="EO26" t="s">
        <v>6</v>
      </c>
      <c r="EQ26">
        <v>0</v>
      </c>
      <c r="ER26">
        <v>153.59</v>
      </c>
      <c r="ES26">
        <v>0</v>
      </c>
      <c r="ET26">
        <v>41.43</v>
      </c>
      <c r="EU26">
        <v>0</v>
      </c>
      <c r="EV26">
        <v>112.16</v>
      </c>
      <c r="EW26">
        <v>14.38</v>
      </c>
      <c r="EX26">
        <v>0</v>
      </c>
      <c r="EY26">
        <v>0</v>
      </c>
      <c r="FQ26">
        <v>0</v>
      </c>
      <c r="FR26">
        <f t="shared" si="43"/>
        <v>0</v>
      </c>
      <c r="FS26">
        <v>0</v>
      </c>
      <c r="FU26" t="s">
        <v>25</v>
      </c>
      <c r="FV26" t="s">
        <v>25</v>
      </c>
      <c r="FW26" t="s">
        <v>26</v>
      </c>
      <c r="FX26">
        <v>110</v>
      </c>
      <c r="FY26">
        <v>59.5</v>
      </c>
      <c r="GA26" t="s">
        <v>6</v>
      </c>
      <c r="GD26">
        <v>0</v>
      </c>
      <c r="GF26">
        <v>-1758325840</v>
      </c>
      <c r="GG26">
        <v>2</v>
      </c>
      <c r="GH26">
        <v>1</v>
      </c>
      <c r="GI26">
        <v>2</v>
      </c>
      <c r="GJ26">
        <v>0</v>
      </c>
      <c r="GK26">
        <f>ROUND(R26*(R12)/100,2)</f>
        <v>0</v>
      </c>
      <c r="GL26">
        <f t="shared" si="44"/>
        <v>0</v>
      </c>
      <c r="GM26">
        <f t="shared" si="45"/>
        <v>15468.8</v>
      </c>
      <c r="GN26">
        <f t="shared" si="46"/>
        <v>15468.8</v>
      </c>
      <c r="GO26">
        <f t="shared" si="47"/>
        <v>0</v>
      </c>
      <c r="GP26">
        <f t="shared" si="48"/>
        <v>0</v>
      </c>
      <c r="GR26">
        <v>0</v>
      </c>
      <c r="GS26">
        <v>3</v>
      </c>
      <c r="GT26">
        <v>0</v>
      </c>
      <c r="GU26" t="s">
        <v>6</v>
      </c>
      <c r="GV26">
        <f t="shared" si="49"/>
        <v>0</v>
      </c>
      <c r="GW26">
        <v>1</v>
      </c>
      <c r="GX26">
        <f t="shared" si="50"/>
        <v>0</v>
      </c>
      <c r="HA26">
        <v>0</v>
      </c>
      <c r="HB26">
        <v>0</v>
      </c>
      <c r="IK26">
        <v>0</v>
      </c>
    </row>
    <row r="27" spans="1:245">
      <c r="A27">
        <v>17</v>
      </c>
      <c r="B27">
        <v>1</v>
      </c>
      <c r="C27">
        <f>ROW(SmtRes!A13)</f>
        <v>13</v>
      </c>
      <c r="D27">
        <f>ROW(EtalonRes!A13)</f>
        <v>13</v>
      </c>
      <c r="E27" t="s">
        <v>40</v>
      </c>
      <c r="F27" t="s">
        <v>41</v>
      </c>
      <c r="G27" t="s">
        <v>42</v>
      </c>
      <c r="H27" t="s">
        <v>35</v>
      </c>
      <c r="I27">
        <v>28</v>
      </c>
      <c r="J27">
        <v>0</v>
      </c>
      <c r="O27">
        <f t="shared" si="14"/>
        <v>349133.87</v>
      </c>
      <c r="P27">
        <f t="shared" si="15"/>
        <v>201723.98</v>
      </c>
      <c r="Q27">
        <f t="shared" si="16"/>
        <v>5804.02</v>
      </c>
      <c r="R27">
        <f t="shared" si="17"/>
        <v>2312.4899999999998</v>
      </c>
      <c r="S27">
        <f t="shared" si="18"/>
        <v>141605.87</v>
      </c>
      <c r="T27">
        <f t="shared" si="19"/>
        <v>0</v>
      </c>
      <c r="U27">
        <f t="shared" si="20"/>
        <v>625.80000000000007</v>
      </c>
      <c r="V27">
        <f t="shared" si="21"/>
        <v>7</v>
      </c>
      <c r="W27">
        <f t="shared" si="22"/>
        <v>0</v>
      </c>
      <c r="X27">
        <f t="shared" si="23"/>
        <v>102182.04</v>
      </c>
      <c r="Y27">
        <f t="shared" si="24"/>
        <v>74837.55</v>
      </c>
      <c r="AA27">
        <v>28315699</v>
      </c>
      <c r="AB27">
        <f t="shared" si="25"/>
        <v>1347.8</v>
      </c>
      <c r="AC27">
        <f t="shared" si="26"/>
        <v>1118.7</v>
      </c>
      <c r="AD27">
        <f t="shared" si="27"/>
        <v>33.76</v>
      </c>
      <c r="AE27">
        <f t="shared" si="28"/>
        <v>3.19</v>
      </c>
      <c r="AF27">
        <f t="shared" si="28"/>
        <v>195.34</v>
      </c>
      <c r="AG27">
        <f t="shared" si="29"/>
        <v>0</v>
      </c>
      <c r="AH27">
        <f t="shared" si="30"/>
        <v>22.35</v>
      </c>
      <c r="AI27">
        <f t="shared" si="30"/>
        <v>0.25</v>
      </c>
      <c r="AJ27">
        <f t="shared" si="31"/>
        <v>0</v>
      </c>
      <c r="AK27">
        <v>1347.8</v>
      </c>
      <c r="AL27">
        <v>1118.7</v>
      </c>
      <c r="AM27">
        <v>33.76</v>
      </c>
      <c r="AN27">
        <v>3.19</v>
      </c>
      <c r="AO27">
        <v>195.34</v>
      </c>
      <c r="AP27">
        <v>0</v>
      </c>
      <c r="AQ27">
        <v>22.35</v>
      </c>
      <c r="AR27">
        <v>0.25</v>
      </c>
      <c r="AS27">
        <v>0</v>
      </c>
      <c r="AT27">
        <v>71</v>
      </c>
      <c r="AU27">
        <v>52</v>
      </c>
      <c r="AV27">
        <v>1</v>
      </c>
      <c r="AW27">
        <v>1</v>
      </c>
      <c r="AZ27">
        <v>1</v>
      </c>
      <c r="BA27">
        <v>25.89</v>
      </c>
      <c r="BB27">
        <v>6.14</v>
      </c>
      <c r="BC27">
        <v>6.44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1</v>
      </c>
      <c r="BJ27" t="s">
        <v>43</v>
      </c>
      <c r="BM27">
        <v>58001</v>
      </c>
      <c r="BN27">
        <v>0</v>
      </c>
      <c r="BO27" t="s">
        <v>41</v>
      </c>
      <c r="BP27">
        <v>1</v>
      </c>
      <c r="BQ27">
        <v>6</v>
      </c>
      <c r="BR27">
        <v>0</v>
      </c>
      <c r="BS27">
        <v>25.89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83</v>
      </c>
      <c r="CA27">
        <v>65</v>
      </c>
      <c r="CF27">
        <v>0</v>
      </c>
      <c r="CG27">
        <v>0</v>
      </c>
      <c r="CM27">
        <v>0</v>
      </c>
      <c r="CN27" t="s">
        <v>6</v>
      </c>
      <c r="CO27">
        <v>0</v>
      </c>
      <c r="CP27">
        <f t="shared" si="32"/>
        <v>349133.87</v>
      </c>
      <c r="CQ27">
        <f t="shared" si="33"/>
        <v>7204.4280000000008</v>
      </c>
      <c r="CR27">
        <f t="shared" si="34"/>
        <v>207.28639999999999</v>
      </c>
      <c r="CS27">
        <f t="shared" si="35"/>
        <v>82.589100000000002</v>
      </c>
      <c r="CT27">
        <f t="shared" si="36"/>
        <v>5057.3526000000002</v>
      </c>
      <c r="CU27">
        <f t="shared" si="37"/>
        <v>0</v>
      </c>
      <c r="CV27">
        <f t="shared" si="38"/>
        <v>22.35</v>
      </c>
      <c r="CW27">
        <f t="shared" si="39"/>
        <v>0.25</v>
      </c>
      <c r="CX27">
        <f t="shared" si="40"/>
        <v>0</v>
      </c>
      <c r="CY27">
        <f t="shared" si="41"/>
        <v>102182.03559999999</v>
      </c>
      <c r="CZ27">
        <f t="shared" si="42"/>
        <v>74837.547199999986</v>
      </c>
      <c r="DC27" t="s">
        <v>6</v>
      </c>
      <c r="DD27" t="s">
        <v>6</v>
      </c>
      <c r="DE27" t="s">
        <v>6</v>
      </c>
      <c r="DF27" t="s">
        <v>6</v>
      </c>
      <c r="DG27" t="s">
        <v>6</v>
      </c>
      <c r="DH27" t="s">
        <v>6</v>
      </c>
      <c r="DI27" t="s">
        <v>6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1005</v>
      </c>
      <c r="DV27" t="s">
        <v>35</v>
      </c>
      <c r="DW27" t="s">
        <v>35</v>
      </c>
      <c r="DX27">
        <v>100</v>
      </c>
      <c r="EE27">
        <v>27463208</v>
      </c>
      <c r="EF27">
        <v>6</v>
      </c>
      <c r="EG27" t="s">
        <v>22</v>
      </c>
      <c r="EH27">
        <v>0</v>
      </c>
      <c r="EI27" t="s">
        <v>6</v>
      </c>
      <c r="EJ27">
        <v>1</v>
      </c>
      <c r="EK27">
        <v>58001</v>
      </c>
      <c r="EL27" t="s">
        <v>23</v>
      </c>
      <c r="EM27" t="s">
        <v>24</v>
      </c>
      <c r="EO27" t="s">
        <v>6</v>
      </c>
      <c r="EQ27">
        <v>0</v>
      </c>
      <c r="ER27">
        <v>1347.8</v>
      </c>
      <c r="ES27">
        <v>1118.7</v>
      </c>
      <c r="ET27">
        <v>33.76</v>
      </c>
      <c r="EU27">
        <v>3.19</v>
      </c>
      <c r="EV27">
        <v>195.34</v>
      </c>
      <c r="EW27">
        <v>22.35</v>
      </c>
      <c r="EX27">
        <v>0.25</v>
      </c>
      <c r="EY27">
        <v>0</v>
      </c>
      <c r="FQ27">
        <v>0</v>
      </c>
      <c r="FR27">
        <f t="shared" si="43"/>
        <v>0</v>
      </c>
      <c r="FS27">
        <v>0</v>
      </c>
      <c r="FV27" t="s">
        <v>25</v>
      </c>
      <c r="FW27" t="s">
        <v>26</v>
      </c>
      <c r="FX27">
        <v>83</v>
      </c>
      <c r="FY27">
        <v>65</v>
      </c>
      <c r="GA27" t="s">
        <v>6</v>
      </c>
      <c r="GD27">
        <v>0</v>
      </c>
      <c r="GF27">
        <v>1078389967</v>
      </c>
      <c r="GG27">
        <v>2</v>
      </c>
      <c r="GH27">
        <v>1</v>
      </c>
      <c r="GI27">
        <v>2</v>
      </c>
      <c r="GJ27">
        <v>0</v>
      </c>
      <c r="GK27">
        <f>ROUND(R27*(R12)/100,2)</f>
        <v>0</v>
      </c>
      <c r="GL27">
        <f t="shared" si="44"/>
        <v>0</v>
      </c>
      <c r="GM27">
        <f t="shared" si="45"/>
        <v>526153.46</v>
      </c>
      <c r="GN27">
        <f t="shared" si="46"/>
        <v>526153.46</v>
      </c>
      <c r="GO27">
        <f t="shared" si="47"/>
        <v>0</v>
      </c>
      <c r="GP27">
        <f t="shared" si="48"/>
        <v>0</v>
      </c>
      <c r="GR27">
        <v>0</v>
      </c>
      <c r="GS27">
        <v>3</v>
      </c>
      <c r="GT27">
        <v>0</v>
      </c>
      <c r="GU27" t="s">
        <v>6</v>
      </c>
      <c r="GV27">
        <f t="shared" si="49"/>
        <v>0</v>
      </c>
      <c r="GW27">
        <v>1</v>
      </c>
      <c r="GX27">
        <f t="shared" si="50"/>
        <v>0</v>
      </c>
      <c r="HA27">
        <v>0</v>
      </c>
      <c r="HB27">
        <v>0</v>
      </c>
      <c r="IK27">
        <v>0</v>
      </c>
    </row>
    <row r="28" spans="1:245">
      <c r="A28">
        <v>18</v>
      </c>
      <c r="B28">
        <v>1</v>
      </c>
      <c r="C28">
        <v>12</v>
      </c>
      <c r="E28" t="s">
        <v>44</v>
      </c>
      <c r="F28" t="s">
        <v>28</v>
      </c>
      <c r="G28" t="s">
        <v>29</v>
      </c>
      <c r="H28" t="s">
        <v>30</v>
      </c>
      <c r="I28">
        <f>I27*J28</f>
        <v>9.52</v>
      </c>
      <c r="J28">
        <v>0.33999999999999997</v>
      </c>
      <c r="O28">
        <f t="shared" si="14"/>
        <v>0</v>
      </c>
      <c r="P28">
        <f t="shared" si="15"/>
        <v>0</v>
      </c>
      <c r="Q28">
        <f t="shared" si="16"/>
        <v>0</v>
      </c>
      <c r="R28">
        <f t="shared" si="17"/>
        <v>0</v>
      </c>
      <c r="S28">
        <f t="shared" si="18"/>
        <v>0</v>
      </c>
      <c r="T28">
        <f t="shared" si="19"/>
        <v>0</v>
      </c>
      <c r="U28">
        <f t="shared" si="20"/>
        <v>0</v>
      </c>
      <c r="V28">
        <f t="shared" si="21"/>
        <v>0</v>
      </c>
      <c r="W28">
        <f t="shared" si="22"/>
        <v>0</v>
      </c>
      <c r="X28">
        <f t="shared" si="23"/>
        <v>0</v>
      </c>
      <c r="Y28">
        <f t="shared" si="24"/>
        <v>0</v>
      </c>
      <c r="AA28">
        <v>28315699</v>
      </c>
      <c r="AB28">
        <f t="shared" si="25"/>
        <v>0</v>
      </c>
      <c r="AC28">
        <f t="shared" si="26"/>
        <v>0</v>
      </c>
      <c r="AD28">
        <f t="shared" si="27"/>
        <v>0</v>
      </c>
      <c r="AE28">
        <f t="shared" si="28"/>
        <v>0</v>
      </c>
      <c r="AF28">
        <f t="shared" si="28"/>
        <v>0</v>
      </c>
      <c r="AG28">
        <f t="shared" si="29"/>
        <v>0</v>
      </c>
      <c r="AH28">
        <f t="shared" si="30"/>
        <v>0</v>
      </c>
      <c r="AI28">
        <f t="shared" si="30"/>
        <v>0</v>
      </c>
      <c r="AJ28">
        <f t="shared" si="31"/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71</v>
      </c>
      <c r="AU28">
        <v>52</v>
      </c>
      <c r="AV28">
        <v>1</v>
      </c>
      <c r="AW28">
        <v>1</v>
      </c>
      <c r="AZ28">
        <v>1</v>
      </c>
      <c r="BA28">
        <v>1</v>
      </c>
      <c r="BB28">
        <v>1</v>
      </c>
      <c r="BC28">
        <v>1</v>
      </c>
      <c r="BD28" t="s">
        <v>6</v>
      </c>
      <c r="BE28" t="s">
        <v>6</v>
      </c>
      <c r="BF28" t="s">
        <v>6</v>
      </c>
      <c r="BG28" t="s">
        <v>6</v>
      </c>
      <c r="BH28">
        <v>3</v>
      </c>
      <c r="BI28">
        <v>1</v>
      </c>
      <c r="BJ28" t="s">
        <v>6</v>
      </c>
      <c r="BM28">
        <v>58001</v>
      </c>
      <c r="BN28">
        <v>0</v>
      </c>
      <c r="BO28" t="s">
        <v>6</v>
      </c>
      <c r="BP28">
        <v>0</v>
      </c>
      <c r="BQ28">
        <v>6</v>
      </c>
      <c r="BR28">
        <v>0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6</v>
      </c>
      <c r="BZ28">
        <v>83</v>
      </c>
      <c r="CA28">
        <v>65</v>
      </c>
      <c r="CF28">
        <v>0</v>
      </c>
      <c r="CG28">
        <v>0</v>
      </c>
      <c r="CM28">
        <v>0</v>
      </c>
      <c r="CN28" t="s">
        <v>6</v>
      </c>
      <c r="CO28">
        <v>0</v>
      </c>
      <c r="CP28">
        <f t="shared" si="32"/>
        <v>0</v>
      </c>
      <c r="CQ28">
        <f t="shared" si="33"/>
        <v>0</v>
      </c>
      <c r="CR28">
        <f t="shared" si="34"/>
        <v>0</v>
      </c>
      <c r="CS28">
        <f t="shared" si="35"/>
        <v>0</v>
      </c>
      <c r="CT28">
        <f t="shared" si="36"/>
        <v>0</v>
      </c>
      <c r="CU28">
        <f t="shared" si="37"/>
        <v>0</v>
      </c>
      <c r="CV28">
        <f t="shared" si="38"/>
        <v>0</v>
      </c>
      <c r="CW28">
        <f t="shared" si="39"/>
        <v>0</v>
      </c>
      <c r="CX28">
        <f t="shared" si="40"/>
        <v>0</v>
      </c>
      <c r="CY28">
        <f t="shared" si="41"/>
        <v>0</v>
      </c>
      <c r="CZ28">
        <f t="shared" si="42"/>
        <v>0</v>
      </c>
      <c r="DC28" t="s">
        <v>6</v>
      </c>
      <c r="DD28" t="s">
        <v>6</v>
      </c>
      <c r="DE28" t="s">
        <v>6</v>
      </c>
      <c r="DF28" t="s">
        <v>6</v>
      </c>
      <c r="DG28" t="s">
        <v>6</v>
      </c>
      <c r="DH28" t="s">
        <v>6</v>
      </c>
      <c r="DI28" t="s">
        <v>6</v>
      </c>
      <c r="DJ28" t="s">
        <v>6</v>
      </c>
      <c r="DK28" t="s">
        <v>6</v>
      </c>
      <c r="DL28" t="s">
        <v>6</v>
      </c>
      <c r="DM28" t="s">
        <v>6</v>
      </c>
      <c r="DN28">
        <v>0</v>
      </c>
      <c r="DO28">
        <v>0</v>
      </c>
      <c r="DP28">
        <v>1</v>
      </c>
      <c r="DQ28">
        <v>1</v>
      </c>
      <c r="DU28">
        <v>1009</v>
      </c>
      <c r="DV28" t="s">
        <v>30</v>
      </c>
      <c r="DW28" t="s">
        <v>30</v>
      </c>
      <c r="DX28">
        <v>1000</v>
      </c>
      <c r="EE28">
        <v>27463208</v>
      </c>
      <c r="EF28">
        <v>6</v>
      </c>
      <c r="EG28" t="s">
        <v>22</v>
      </c>
      <c r="EH28">
        <v>0</v>
      </c>
      <c r="EI28" t="s">
        <v>6</v>
      </c>
      <c r="EJ28">
        <v>1</v>
      </c>
      <c r="EK28">
        <v>58001</v>
      </c>
      <c r="EL28" t="s">
        <v>23</v>
      </c>
      <c r="EM28" t="s">
        <v>24</v>
      </c>
      <c r="EO28" t="s">
        <v>6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FQ28">
        <v>0</v>
      </c>
      <c r="FR28">
        <f t="shared" si="43"/>
        <v>0</v>
      </c>
      <c r="FS28">
        <v>0</v>
      </c>
      <c r="FV28" t="s">
        <v>25</v>
      </c>
      <c r="FW28" t="s">
        <v>26</v>
      </c>
      <c r="FX28">
        <v>83</v>
      </c>
      <c r="FY28">
        <v>65</v>
      </c>
      <c r="GA28" t="s">
        <v>31</v>
      </c>
      <c r="GD28">
        <v>0</v>
      </c>
      <c r="GF28">
        <v>-179832266</v>
      </c>
      <c r="GG28">
        <v>2</v>
      </c>
      <c r="GH28">
        <v>1</v>
      </c>
      <c r="GI28">
        <v>-2</v>
      </c>
      <c r="GJ28">
        <v>0</v>
      </c>
      <c r="GK28">
        <f>ROUND(R28*(R12)/100,2)</f>
        <v>0</v>
      </c>
      <c r="GL28">
        <f t="shared" si="44"/>
        <v>0</v>
      </c>
      <c r="GM28">
        <f t="shared" si="45"/>
        <v>0</v>
      </c>
      <c r="GN28">
        <f t="shared" si="46"/>
        <v>0</v>
      </c>
      <c r="GO28">
        <f t="shared" si="47"/>
        <v>0</v>
      </c>
      <c r="GP28">
        <f t="shared" si="48"/>
        <v>0</v>
      </c>
      <c r="GR28">
        <v>0</v>
      </c>
      <c r="GS28">
        <v>4</v>
      </c>
      <c r="GT28">
        <v>0</v>
      </c>
      <c r="GU28" t="s">
        <v>6</v>
      </c>
      <c r="GV28">
        <f t="shared" si="49"/>
        <v>0</v>
      </c>
      <c r="GW28">
        <v>1</v>
      </c>
      <c r="GX28">
        <f t="shared" si="50"/>
        <v>0</v>
      </c>
      <c r="HA28">
        <v>0</v>
      </c>
      <c r="HB28">
        <v>0</v>
      </c>
      <c r="IK28">
        <v>0</v>
      </c>
    </row>
    <row r="29" spans="1:245">
      <c r="A29">
        <v>18</v>
      </c>
      <c r="B29">
        <v>1</v>
      </c>
      <c r="C29">
        <v>13</v>
      </c>
      <c r="E29" t="s">
        <v>45</v>
      </c>
      <c r="F29" t="s">
        <v>46</v>
      </c>
      <c r="G29" t="s">
        <v>47</v>
      </c>
      <c r="H29" t="s">
        <v>48</v>
      </c>
      <c r="I29">
        <f>I27*J29</f>
        <v>3220</v>
      </c>
      <c r="J29">
        <v>115</v>
      </c>
      <c r="O29">
        <f t="shared" si="14"/>
        <v>476211.92</v>
      </c>
      <c r="P29">
        <f t="shared" si="15"/>
        <v>476211.92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28315699</v>
      </c>
      <c r="AB29">
        <f t="shared" si="25"/>
        <v>29.17</v>
      </c>
      <c r="AC29">
        <f t="shared" si="26"/>
        <v>29.17</v>
      </c>
      <c r="AD29">
        <f t="shared" si="27"/>
        <v>0</v>
      </c>
      <c r="AE29">
        <f t="shared" si="28"/>
        <v>0</v>
      </c>
      <c r="AF29">
        <f t="shared" si="28"/>
        <v>0</v>
      </c>
      <c r="AG29">
        <f t="shared" si="29"/>
        <v>0</v>
      </c>
      <c r="AH29">
        <f t="shared" si="30"/>
        <v>0</v>
      </c>
      <c r="AI29">
        <f t="shared" si="30"/>
        <v>0</v>
      </c>
      <c r="AJ29">
        <f t="shared" si="31"/>
        <v>0</v>
      </c>
      <c r="AK29">
        <v>29.17</v>
      </c>
      <c r="AL29">
        <v>29.17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71</v>
      </c>
      <c r="AU29">
        <v>52</v>
      </c>
      <c r="AV29">
        <v>1</v>
      </c>
      <c r="AW29">
        <v>1</v>
      </c>
      <c r="AZ29">
        <v>1</v>
      </c>
      <c r="BA29">
        <v>1</v>
      </c>
      <c r="BB29">
        <v>1</v>
      </c>
      <c r="BC29">
        <v>5.07</v>
      </c>
      <c r="BD29" t="s">
        <v>6</v>
      </c>
      <c r="BE29" t="s">
        <v>6</v>
      </c>
      <c r="BF29" t="s">
        <v>6</v>
      </c>
      <c r="BG29" t="s">
        <v>6</v>
      </c>
      <c r="BH29">
        <v>3</v>
      </c>
      <c r="BI29">
        <v>1</v>
      </c>
      <c r="BJ29" t="s">
        <v>49</v>
      </c>
      <c r="BM29">
        <v>58001</v>
      </c>
      <c r="BN29">
        <v>0</v>
      </c>
      <c r="BO29" t="s">
        <v>46</v>
      </c>
      <c r="BP29">
        <v>1</v>
      </c>
      <c r="BQ29">
        <v>6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83</v>
      </c>
      <c r="CA29">
        <v>65</v>
      </c>
      <c r="CF29">
        <v>0</v>
      </c>
      <c r="CG29">
        <v>0</v>
      </c>
      <c r="CM29">
        <v>0</v>
      </c>
      <c r="CN29" t="s">
        <v>6</v>
      </c>
      <c r="CO29">
        <v>0</v>
      </c>
      <c r="CP29">
        <f t="shared" si="32"/>
        <v>476211.92</v>
      </c>
      <c r="CQ29">
        <f t="shared" si="33"/>
        <v>147.89190000000002</v>
      </c>
      <c r="CR29">
        <f t="shared" si="34"/>
        <v>0</v>
      </c>
      <c r="CS29">
        <f t="shared" si="35"/>
        <v>0</v>
      </c>
      <c r="CT29">
        <f t="shared" si="36"/>
        <v>0</v>
      </c>
      <c r="CU29">
        <f t="shared" si="37"/>
        <v>0</v>
      </c>
      <c r="CV29">
        <f t="shared" si="38"/>
        <v>0</v>
      </c>
      <c r="CW29">
        <f t="shared" si="39"/>
        <v>0</v>
      </c>
      <c r="CX29">
        <f t="shared" si="40"/>
        <v>0</v>
      </c>
      <c r="CY29">
        <f t="shared" si="41"/>
        <v>0</v>
      </c>
      <c r="CZ29">
        <f t="shared" si="42"/>
        <v>0</v>
      </c>
      <c r="DC29" t="s">
        <v>6</v>
      </c>
      <c r="DD29" t="s">
        <v>6</v>
      </c>
      <c r="DE29" t="s">
        <v>6</v>
      </c>
      <c r="DF29" t="s">
        <v>6</v>
      </c>
      <c r="DG29" t="s">
        <v>6</v>
      </c>
      <c r="DH29" t="s">
        <v>6</v>
      </c>
      <c r="DI29" t="s">
        <v>6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1005</v>
      </c>
      <c r="DV29" t="s">
        <v>48</v>
      </c>
      <c r="DW29" t="s">
        <v>48</v>
      </c>
      <c r="DX29">
        <v>1</v>
      </c>
      <c r="EE29">
        <v>27463208</v>
      </c>
      <c r="EF29">
        <v>6</v>
      </c>
      <c r="EG29" t="s">
        <v>22</v>
      </c>
      <c r="EH29">
        <v>0</v>
      </c>
      <c r="EI29" t="s">
        <v>6</v>
      </c>
      <c r="EJ29">
        <v>1</v>
      </c>
      <c r="EK29">
        <v>58001</v>
      </c>
      <c r="EL29" t="s">
        <v>23</v>
      </c>
      <c r="EM29" t="s">
        <v>24</v>
      </c>
      <c r="EO29" t="s">
        <v>6</v>
      </c>
      <c r="EQ29">
        <v>0</v>
      </c>
      <c r="ER29">
        <v>29.17</v>
      </c>
      <c r="ES29">
        <v>29.17</v>
      </c>
      <c r="ET29">
        <v>0</v>
      </c>
      <c r="EU29">
        <v>0</v>
      </c>
      <c r="EV29">
        <v>0</v>
      </c>
      <c r="EW29">
        <v>0</v>
      </c>
      <c r="EX29">
        <v>0</v>
      </c>
      <c r="FQ29">
        <v>0</v>
      </c>
      <c r="FR29">
        <f t="shared" si="43"/>
        <v>0</v>
      </c>
      <c r="FS29">
        <v>0</v>
      </c>
      <c r="FV29" t="s">
        <v>25</v>
      </c>
      <c r="FW29" t="s">
        <v>26</v>
      </c>
      <c r="FX29">
        <v>83</v>
      </c>
      <c r="FY29">
        <v>65</v>
      </c>
      <c r="GA29" t="s">
        <v>6</v>
      </c>
      <c r="GD29">
        <v>0</v>
      </c>
      <c r="GF29">
        <v>572784257</v>
      </c>
      <c r="GG29">
        <v>2</v>
      </c>
      <c r="GH29">
        <v>1</v>
      </c>
      <c r="GI29">
        <v>2</v>
      </c>
      <c r="GJ29">
        <v>0</v>
      </c>
      <c r="GK29">
        <f>ROUND(R29*(R12)/100,2)</f>
        <v>0</v>
      </c>
      <c r="GL29">
        <f t="shared" si="44"/>
        <v>0</v>
      </c>
      <c r="GM29">
        <f t="shared" si="45"/>
        <v>476211.92</v>
      </c>
      <c r="GN29">
        <f t="shared" si="46"/>
        <v>476211.92</v>
      </c>
      <c r="GO29">
        <f t="shared" si="47"/>
        <v>0</v>
      </c>
      <c r="GP29">
        <f t="shared" si="48"/>
        <v>0</v>
      </c>
      <c r="GR29">
        <v>0</v>
      </c>
      <c r="GS29">
        <v>3</v>
      </c>
      <c r="GT29">
        <v>0</v>
      </c>
      <c r="GU29" t="s">
        <v>6</v>
      </c>
      <c r="GV29">
        <f t="shared" si="49"/>
        <v>0</v>
      </c>
      <c r="GW29">
        <v>1</v>
      </c>
      <c r="GX29">
        <f t="shared" si="50"/>
        <v>0</v>
      </c>
      <c r="HA29">
        <v>0</v>
      </c>
      <c r="HB29">
        <v>0</v>
      </c>
      <c r="IK29">
        <v>0</v>
      </c>
    </row>
    <row r="30" spans="1:245">
      <c r="A30">
        <v>17</v>
      </c>
      <c r="B30">
        <v>1</v>
      </c>
      <c r="C30">
        <f>ROW(SmtRes!A19)</f>
        <v>19</v>
      </c>
      <c r="D30">
        <f>ROW(EtalonRes!A19)</f>
        <v>19</v>
      </c>
      <c r="E30" t="s">
        <v>50</v>
      </c>
      <c r="F30" t="s">
        <v>51</v>
      </c>
      <c r="G30" t="s">
        <v>52</v>
      </c>
      <c r="H30" t="s">
        <v>20</v>
      </c>
      <c r="I30">
        <v>3.6</v>
      </c>
      <c r="J30">
        <v>0</v>
      </c>
      <c r="O30">
        <f t="shared" si="14"/>
        <v>54796.67</v>
      </c>
      <c r="P30">
        <f t="shared" si="15"/>
        <v>18124.8</v>
      </c>
      <c r="Q30">
        <f t="shared" si="16"/>
        <v>18404.400000000001</v>
      </c>
      <c r="R30">
        <f t="shared" si="17"/>
        <v>4436.51</v>
      </c>
      <c r="S30">
        <f t="shared" si="18"/>
        <v>18267.47</v>
      </c>
      <c r="T30">
        <f t="shared" si="19"/>
        <v>0</v>
      </c>
      <c r="U30">
        <f t="shared" si="20"/>
        <v>77.790599999999984</v>
      </c>
      <c r="V30">
        <f t="shared" si="21"/>
        <v>16.965000000000003</v>
      </c>
      <c r="W30">
        <f t="shared" si="22"/>
        <v>0</v>
      </c>
      <c r="X30">
        <f t="shared" si="23"/>
        <v>29969.25</v>
      </c>
      <c r="Y30">
        <f t="shared" si="24"/>
        <v>15438.71</v>
      </c>
      <c r="AA30">
        <v>28315699</v>
      </c>
      <c r="AB30">
        <f t="shared" si="25"/>
        <v>2745.4769999999999</v>
      </c>
      <c r="AC30">
        <f t="shared" si="26"/>
        <v>1558.72</v>
      </c>
      <c r="AD30">
        <f>ROUND(((((ET30*1.25))-((EU30*1.25)))+AE30),6)</f>
        <v>990.76250000000005</v>
      </c>
      <c r="AE30">
        <f>ROUND(((EU30*1.25)),6)</f>
        <v>47.6</v>
      </c>
      <c r="AF30">
        <f>ROUND(((EV30*1.15)),6)</f>
        <v>195.99449999999999</v>
      </c>
      <c r="AG30">
        <f t="shared" si="29"/>
        <v>0</v>
      </c>
      <c r="AH30">
        <f>((EW30*1.15))</f>
        <v>21.608499999999996</v>
      </c>
      <c r="AI30">
        <f>((EX30*1.25))</f>
        <v>4.7125000000000004</v>
      </c>
      <c r="AJ30">
        <f t="shared" si="31"/>
        <v>0</v>
      </c>
      <c r="AK30">
        <v>2521.7600000000002</v>
      </c>
      <c r="AL30">
        <v>1558.72</v>
      </c>
      <c r="AM30">
        <v>792.61</v>
      </c>
      <c r="AN30">
        <v>38.08</v>
      </c>
      <c r="AO30">
        <v>170.43</v>
      </c>
      <c r="AP30">
        <v>0</v>
      </c>
      <c r="AQ30">
        <v>18.79</v>
      </c>
      <c r="AR30">
        <v>3.77</v>
      </c>
      <c r="AS30">
        <v>0</v>
      </c>
      <c r="AT30">
        <v>132</v>
      </c>
      <c r="AU30">
        <v>68</v>
      </c>
      <c r="AV30">
        <v>1</v>
      </c>
      <c r="AW30">
        <v>1</v>
      </c>
      <c r="AZ30">
        <v>1</v>
      </c>
      <c r="BA30">
        <v>25.89</v>
      </c>
      <c r="BB30">
        <v>5.16</v>
      </c>
      <c r="BC30">
        <v>3.23</v>
      </c>
      <c r="BD30" t="s">
        <v>6</v>
      </c>
      <c r="BE30" t="s">
        <v>6</v>
      </c>
      <c r="BF30" t="s">
        <v>6</v>
      </c>
      <c r="BG30" t="s">
        <v>6</v>
      </c>
      <c r="BH30">
        <v>0</v>
      </c>
      <c r="BI30">
        <v>1</v>
      </c>
      <c r="BJ30" t="s">
        <v>53</v>
      </c>
      <c r="BM30">
        <v>7005</v>
      </c>
      <c r="BN30">
        <v>0</v>
      </c>
      <c r="BO30" t="s">
        <v>51</v>
      </c>
      <c r="BP30">
        <v>1</v>
      </c>
      <c r="BQ30">
        <v>2</v>
      </c>
      <c r="BR30">
        <v>0</v>
      </c>
      <c r="BS30">
        <v>25.89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6</v>
      </c>
      <c r="BZ30">
        <v>155</v>
      </c>
      <c r="CA30">
        <v>100</v>
      </c>
      <c r="CF30">
        <v>0</v>
      </c>
      <c r="CG30">
        <v>0</v>
      </c>
      <c r="CM30">
        <v>0</v>
      </c>
      <c r="CN30" t="s">
        <v>54</v>
      </c>
      <c r="CO30">
        <v>0</v>
      </c>
      <c r="CP30">
        <f t="shared" si="32"/>
        <v>54796.67</v>
      </c>
      <c r="CQ30">
        <f t="shared" si="33"/>
        <v>5034.6656000000003</v>
      </c>
      <c r="CR30">
        <f t="shared" si="34"/>
        <v>5112.3344999999999</v>
      </c>
      <c r="CS30">
        <f t="shared" si="35"/>
        <v>1232.364</v>
      </c>
      <c r="CT30">
        <f t="shared" si="36"/>
        <v>5074.2976049999997</v>
      </c>
      <c r="CU30">
        <f t="shared" si="37"/>
        <v>0</v>
      </c>
      <c r="CV30">
        <f t="shared" si="38"/>
        <v>21.608499999999996</v>
      </c>
      <c r="CW30">
        <f t="shared" si="39"/>
        <v>4.7125000000000004</v>
      </c>
      <c r="CX30">
        <f t="shared" si="40"/>
        <v>0</v>
      </c>
      <c r="CY30">
        <f t="shared" si="41"/>
        <v>29969.253600000004</v>
      </c>
      <c r="CZ30">
        <f t="shared" si="42"/>
        <v>15438.706400000001</v>
      </c>
      <c r="DC30" t="s">
        <v>6</v>
      </c>
      <c r="DD30" t="s">
        <v>6</v>
      </c>
      <c r="DE30" t="s">
        <v>55</v>
      </c>
      <c r="DF30" t="s">
        <v>55</v>
      </c>
      <c r="DG30" t="s">
        <v>56</v>
      </c>
      <c r="DH30" t="s">
        <v>6</v>
      </c>
      <c r="DI30" t="s">
        <v>56</v>
      </c>
      <c r="DJ30" t="s">
        <v>55</v>
      </c>
      <c r="DK30" t="s">
        <v>6</v>
      </c>
      <c r="DL30" t="s">
        <v>6</v>
      </c>
      <c r="DM30" t="s">
        <v>6</v>
      </c>
      <c r="DN30">
        <v>0</v>
      </c>
      <c r="DO30">
        <v>0</v>
      </c>
      <c r="DP30">
        <v>1</v>
      </c>
      <c r="DQ30">
        <v>1</v>
      </c>
      <c r="DU30">
        <v>1003</v>
      </c>
      <c r="DV30" t="s">
        <v>20</v>
      </c>
      <c r="DW30" t="s">
        <v>20</v>
      </c>
      <c r="DX30">
        <v>100</v>
      </c>
      <c r="EE30">
        <v>27463125</v>
      </c>
      <c r="EF30">
        <v>2</v>
      </c>
      <c r="EG30" t="s">
        <v>37</v>
      </c>
      <c r="EH30">
        <v>0</v>
      </c>
      <c r="EI30" t="s">
        <v>6</v>
      </c>
      <c r="EJ30">
        <v>1</v>
      </c>
      <c r="EK30">
        <v>7005</v>
      </c>
      <c r="EL30" t="s">
        <v>57</v>
      </c>
      <c r="EM30" t="s">
        <v>58</v>
      </c>
      <c r="EO30" t="s">
        <v>59</v>
      </c>
      <c r="EQ30">
        <v>0</v>
      </c>
      <c r="ER30">
        <v>2521.7600000000002</v>
      </c>
      <c r="ES30">
        <v>1558.72</v>
      </c>
      <c r="ET30">
        <v>792.61</v>
      </c>
      <c r="EU30">
        <v>38.08</v>
      </c>
      <c r="EV30">
        <v>170.43</v>
      </c>
      <c r="EW30">
        <v>18.79</v>
      </c>
      <c r="EX30">
        <v>3.77</v>
      </c>
      <c r="EY30">
        <v>0</v>
      </c>
      <c r="FQ30">
        <v>0</v>
      </c>
      <c r="FR30">
        <f t="shared" si="43"/>
        <v>0</v>
      </c>
      <c r="FS30">
        <v>0</v>
      </c>
      <c r="FU30" t="s">
        <v>25</v>
      </c>
      <c r="FV30" t="s">
        <v>25</v>
      </c>
      <c r="FW30" t="s">
        <v>26</v>
      </c>
      <c r="FX30">
        <v>155</v>
      </c>
      <c r="FY30">
        <v>85</v>
      </c>
      <c r="GA30" t="s">
        <v>6</v>
      </c>
      <c r="GD30">
        <v>0</v>
      </c>
      <c r="GF30">
        <v>-1840901472</v>
      </c>
      <c r="GG30">
        <v>2</v>
      </c>
      <c r="GH30">
        <v>1</v>
      </c>
      <c r="GI30">
        <v>2</v>
      </c>
      <c r="GJ30">
        <v>0</v>
      </c>
      <c r="GK30">
        <f>ROUND(R30*(R12)/100,2)</f>
        <v>0</v>
      </c>
      <c r="GL30">
        <f t="shared" si="44"/>
        <v>0</v>
      </c>
      <c r="GM30">
        <f t="shared" si="45"/>
        <v>100204.63</v>
      </c>
      <c r="GN30">
        <f t="shared" si="46"/>
        <v>100204.63</v>
      </c>
      <c r="GO30">
        <f t="shared" si="47"/>
        <v>0</v>
      </c>
      <c r="GP30">
        <f t="shared" si="48"/>
        <v>0</v>
      </c>
      <c r="GR30">
        <v>0</v>
      </c>
      <c r="GS30">
        <v>3</v>
      </c>
      <c r="GT30">
        <v>0</v>
      </c>
      <c r="GU30" t="s">
        <v>6</v>
      </c>
      <c r="GV30">
        <f t="shared" si="49"/>
        <v>0</v>
      </c>
      <c r="GW30">
        <v>1</v>
      </c>
      <c r="GX30">
        <f t="shared" si="50"/>
        <v>0</v>
      </c>
      <c r="HA30">
        <v>0</v>
      </c>
      <c r="HB30">
        <v>0</v>
      </c>
      <c r="IK30">
        <v>0</v>
      </c>
    </row>
    <row r="31" spans="1:245">
      <c r="A31">
        <v>17</v>
      </c>
      <c r="B31">
        <v>1</v>
      </c>
      <c r="C31">
        <f>ROW(SmtRes!A26)</f>
        <v>26</v>
      </c>
      <c r="D31">
        <f>ROW(EtalonRes!A26)</f>
        <v>26</v>
      </c>
      <c r="E31" t="s">
        <v>60</v>
      </c>
      <c r="F31" t="s">
        <v>61</v>
      </c>
      <c r="G31" t="s">
        <v>62</v>
      </c>
      <c r="H31" t="s">
        <v>63</v>
      </c>
      <c r="I31">
        <v>8.58</v>
      </c>
      <c r="J31">
        <v>0</v>
      </c>
      <c r="O31">
        <f t="shared" si="14"/>
        <v>256807.67</v>
      </c>
      <c r="P31">
        <f t="shared" si="15"/>
        <v>0</v>
      </c>
      <c r="Q31">
        <f t="shared" si="16"/>
        <v>1148.9000000000001</v>
      </c>
      <c r="R31">
        <f t="shared" si="17"/>
        <v>0</v>
      </c>
      <c r="S31">
        <f t="shared" si="18"/>
        <v>255658.77</v>
      </c>
      <c r="T31">
        <f t="shared" si="19"/>
        <v>0</v>
      </c>
      <c r="U31">
        <f t="shared" si="20"/>
        <v>1114.5420000000001</v>
      </c>
      <c r="V31">
        <f t="shared" si="21"/>
        <v>0</v>
      </c>
      <c r="W31">
        <f t="shared" si="22"/>
        <v>0</v>
      </c>
      <c r="X31">
        <f t="shared" si="23"/>
        <v>181517.73</v>
      </c>
      <c r="Y31">
        <f t="shared" si="24"/>
        <v>132942.56</v>
      </c>
      <c r="AA31">
        <v>28315699</v>
      </c>
      <c r="AB31">
        <f t="shared" si="25"/>
        <v>1201.44</v>
      </c>
      <c r="AC31">
        <f t="shared" si="26"/>
        <v>0</v>
      </c>
      <c r="AD31">
        <f>ROUND((((ET31)-(EU31))+AE31),6)</f>
        <v>50.53</v>
      </c>
      <c r="AE31">
        <f t="shared" ref="AE31:AF35" si="51">ROUND((EU31),6)</f>
        <v>0</v>
      </c>
      <c r="AF31">
        <f t="shared" si="51"/>
        <v>1150.9100000000001</v>
      </c>
      <c r="AG31">
        <f t="shared" si="29"/>
        <v>0</v>
      </c>
      <c r="AH31">
        <f t="shared" ref="AH31:AI35" si="52">(EW31)</f>
        <v>129.9</v>
      </c>
      <c r="AI31">
        <f t="shared" si="52"/>
        <v>0</v>
      </c>
      <c r="AJ31">
        <f t="shared" si="31"/>
        <v>0</v>
      </c>
      <c r="AK31">
        <v>1201.44</v>
      </c>
      <c r="AL31">
        <v>0</v>
      </c>
      <c r="AM31">
        <v>50.53</v>
      </c>
      <c r="AN31">
        <v>0</v>
      </c>
      <c r="AO31">
        <v>1150.9100000000001</v>
      </c>
      <c r="AP31">
        <v>0</v>
      </c>
      <c r="AQ31">
        <v>129.9</v>
      </c>
      <c r="AR31">
        <v>0</v>
      </c>
      <c r="AS31">
        <v>0</v>
      </c>
      <c r="AT31">
        <v>71</v>
      </c>
      <c r="AU31">
        <v>52</v>
      </c>
      <c r="AV31">
        <v>1</v>
      </c>
      <c r="AW31">
        <v>1</v>
      </c>
      <c r="AZ31">
        <v>1</v>
      </c>
      <c r="BA31">
        <v>25.89</v>
      </c>
      <c r="BB31">
        <v>2.65</v>
      </c>
      <c r="BC31">
        <v>1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1</v>
      </c>
      <c r="BJ31" t="s">
        <v>64</v>
      </c>
      <c r="BM31">
        <v>58001</v>
      </c>
      <c r="BN31">
        <v>0</v>
      </c>
      <c r="BO31" t="s">
        <v>61</v>
      </c>
      <c r="BP31">
        <v>1</v>
      </c>
      <c r="BQ31">
        <v>6</v>
      </c>
      <c r="BR31">
        <v>0</v>
      </c>
      <c r="BS31">
        <v>25.89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83</v>
      </c>
      <c r="CA31">
        <v>65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2"/>
        <v>256807.66999999998</v>
      </c>
      <c r="CQ31">
        <f t="shared" si="33"/>
        <v>0</v>
      </c>
      <c r="CR31">
        <f t="shared" si="34"/>
        <v>133.90449999999998</v>
      </c>
      <c r="CS31">
        <f t="shared" si="35"/>
        <v>0</v>
      </c>
      <c r="CT31">
        <f t="shared" si="36"/>
        <v>29797.059900000004</v>
      </c>
      <c r="CU31">
        <f t="shared" si="37"/>
        <v>0</v>
      </c>
      <c r="CV31">
        <f t="shared" si="38"/>
        <v>129.9</v>
      </c>
      <c r="CW31">
        <f t="shared" si="39"/>
        <v>0</v>
      </c>
      <c r="CX31">
        <f t="shared" si="40"/>
        <v>0</v>
      </c>
      <c r="CY31">
        <f t="shared" si="41"/>
        <v>181517.72669999997</v>
      </c>
      <c r="CZ31">
        <f t="shared" si="42"/>
        <v>132942.56039999999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63</v>
      </c>
      <c r="DW31" t="s">
        <v>63</v>
      </c>
      <c r="DX31">
        <v>1</v>
      </c>
      <c r="EE31">
        <v>27463208</v>
      </c>
      <c r="EF31">
        <v>6</v>
      </c>
      <c r="EG31" t="s">
        <v>22</v>
      </c>
      <c r="EH31">
        <v>0</v>
      </c>
      <c r="EI31" t="s">
        <v>6</v>
      </c>
      <c r="EJ31">
        <v>1</v>
      </c>
      <c r="EK31">
        <v>58001</v>
      </c>
      <c r="EL31" t="s">
        <v>23</v>
      </c>
      <c r="EM31" t="s">
        <v>24</v>
      </c>
      <c r="EO31" t="s">
        <v>6</v>
      </c>
      <c r="EQ31">
        <v>0</v>
      </c>
      <c r="ER31">
        <v>1201.44</v>
      </c>
      <c r="ES31">
        <v>0</v>
      </c>
      <c r="ET31">
        <v>50.53</v>
      </c>
      <c r="EU31">
        <v>0</v>
      </c>
      <c r="EV31">
        <v>1150.9100000000001</v>
      </c>
      <c r="EW31">
        <v>129.9</v>
      </c>
      <c r="EX31">
        <v>0</v>
      </c>
      <c r="EY31">
        <v>0</v>
      </c>
      <c r="FQ31">
        <v>0</v>
      </c>
      <c r="FR31">
        <f t="shared" si="43"/>
        <v>0</v>
      </c>
      <c r="FS31">
        <v>0</v>
      </c>
      <c r="FV31" t="s">
        <v>25</v>
      </c>
      <c r="FW31" t="s">
        <v>26</v>
      </c>
      <c r="FX31">
        <v>83</v>
      </c>
      <c r="FY31">
        <v>65</v>
      </c>
      <c r="GA31" t="s">
        <v>6</v>
      </c>
      <c r="GD31">
        <v>0</v>
      </c>
      <c r="GF31">
        <v>1374860489</v>
      </c>
      <c r="GG31">
        <v>2</v>
      </c>
      <c r="GH31">
        <v>1</v>
      </c>
      <c r="GI31">
        <v>2</v>
      </c>
      <c r="GJ31">
        <v>0</v>
      </c>
      <c r="GK31">
        <f>ROUND(R31*(R12)/100,2)</f>
        <v>0</v>
      </c>
      <c r="GL31">
        <f t="shared" si="44"/>
        <v>0</v>
      </c>
      <c r="GM31">
        <f t="shared" si="45"/>
        <v>571267.96</v>
      </c>
      <c r="GN31">
        <f t="shared" si="46"/>
        <v>571267.96</v>
      </c>
      <c r="GO31">
        <f t="shared" si="47"/>
        <v>0</v>
      </c>
      <c r="GP31">
        <f t="shared" si="48"/>
        <v>0</v>
      </c>
      <c r="GR31">
        <v>0</v>
      </c>
      <c r="GS31">
        <v>3</v>
      </c>
      <c r="GT31">
        <v>0</v>
      </c>
      <c r="GU31" t="s">
        <v>6</v>
      </c>
      <c r="GV31">
        <f t="shared" si="49"/>
        <v>0</v>
      </c>
      <c r="GW31">
        <v>1</v>
      </c>
      <c r="GX31">
        <f t="shared" si="50"/>
        <v>0</v>
      </c>
      <c r="HA31">
        <v>0</v>
      </c>
      <c r="HB31">
        <v>0</v>
      </c>
      <c r="IK31">
        <v>0</v>
      </c>
    </row>
    <row r="32" spans="1:245">
      <c r="A32">
        <v>18</v>
      </c>
      <c r="B32">
        <v>1</v>
      </c>
      <c r="C32">
        <v>24</v>
      </c>
      <c r="E32" t="s">
        <v>65</v>
      </c>
      <c r="F32" t="s">
        <v>28</v>
      </c>
      <c r="G32" t="s">
        <v>29</v>
      </c>
      <c r="H32" t="s">
        <v>30</v>
      </c>
      <c r="I32">
        <f>I31*J32</f>
        <v>12.698399999999999</v>
      </c>
      <c r="J32">
        <v>1.48</v>
      </c>
      <c r="O32">
        <f t="shared" si="14"/>
        <v>0</v>
      </c>
      <c r="P32">
        <f t="shared" si="15"/>
        <v>0</v>
      </c>
      <c r="Q32">
        <f t="shared" si="16"/>
        <v>0</v>
      </c>
      <c r="R32">
        <f t="shared" si="17"/>
        <v>0</v>
      </c>
      <c r="S32">
        <f t="shared" si="18"/>
        <v>0</v>
      </c>
      <c r="T32">
        <f t="shared" si="19"/>
        <v>0</v>
      </c>
      <c r="U32">
        <f t="shared" si="20"/>
        <v>0</v>
      </c>
      <c r="V32">
        <f t="shared" si="21"/>
        <v>0</v>
      </c>
      <c r="W32">
        <f t="shared" si="22"/>
        <v>0</v>
      </c>
      <c r="X32">
        <f t="shared" si="23"/>
        <v>0</v>
      </c>
      <c r="Y32">
        <f t="shared" si="24"/>
        <v>0</v>
      </c>
      <c r="AA32">
        <v>28315699</v>
      </c>
      <c r="AB32">
        <f t="shared" si="25"/>
        <v>0</v>
      </c>
      <c r="AC32">
        <f t="shared" si="26"/>
        <v>0</v>
      </c>
      <c r="AD32">
        <f>ROUND((((ET32)-(EU32))+AE32),6)</f>
        <v>0</v>
      </c>
      <c r="AE32">
        <f t="shared" si="51"/>
        <v>0</v>
      </c>
      <c r="AF32">
        <f t="shared" si="51"/>
        <v>0</v>
      </c>
      <c r="AG32">
        <f t="shared" si="29"/>
        <v>0</v>
      </c>
      <c r="AH32">
        <f t="shared" si="52"/>
        <v>0</v>
      </c>
      <c r="AI32">
        <f t="shared" si="52"/>
        <v>0</v>
      </c>
      <c r="AJ32">
        <f t="shared" si="31"/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71</v>
      </c>
      <c r="AU32">
        <v>52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1</v>
      </c>
      <c r="BD32" t="s">
        <v>6</v>
      </c>
      <c r="BE32" t="s">
        <v>6</v>
      </c>
      <c r="BF32" t="s">
        <v>6</v>
      </c>
      <c r="BG32" t="s">
        <v>6</v>
      </c>
      <c r="BH32">
        <v>3</v>
      </c>
      <c r="BI32">
        <v>1</v>
      </c>
      <c r="BJ32" t="s">
        <v>6</v>
      </c>
      <c r="BM32">
        <v>58001</v>
      </c>
      <c r="BN32">
        <v>0</v>
      </c>
      <c r="BO32" t="s">
        <v>6</v>
      </c>
      <c r="BP32">
        <v>0</v>
      </c>
      <c r="BQ32">
        <v>6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6</v>
      </c>
      <c r="BZ32">
        <v>83</v>
      </c>
      <c r="CA32">
        <v>65</v>
      </c>
      <c r="CF32">
        <v>0</v>
      </c>
      <c r="CG32">
        <v>0</v>
      </c>
      <c r="CM32">
        <v>0</v>
      </c>
      <c r="CN32" t="s">
        <v>6</v>
      </c>
      <c r="CO32">
        <v>0</v>
      </c>
      <c r="CP32">
        <f t="shared" si="32"/>
        <v>0</v>
      </c>
      <c r="CQ32">
        <f t="shared" si="33"/>
        <v>0</v>
      </c>
      <c r="CR32">
        <f t="shared" si="34"/>
        <v>0</v>
      </c>
      <c r="CS32">
        <f t="shared" si="35"/>
        <v>0</v>
      </c>
      <c r="CT32">
        <f t="shared" si="36"/>
        <v>0</v>
      </c>
      <c r="CU32">
        <f t="shared" si="37"/>
        <v>0</v>
      </c>
      <c r="CV32">
        <f t="shared" si="38"/>
        <v>0</v>
      </c>
      <c r="CW32">
        <f t="shared" si="39"/>
        <v>0</v>
      </c>
      <c r="CX32">
        <f t="shared" si="40"/>
        <v>0</v>
      </c>
      <c r="CY32">
        <f t="shared" si="41"/>
        <v>0</v>
      </c>
      <c r="CZ32">
        <f t="shared" si="42"/>
        <v>0</v>
      </c>
      <c r="DC32" t="s">
        <v>6</v>
      </c>
      <c r="DD32" t="s">
        <v>6</v>
      </c>
      <c r="DE32" t="s">
        <v>6</v>
      </c>
      <c r="DF32" t="s">
        <v>6</v>
      </c>
      <c r="DG32" t="s">
        <v>6</v>
      </c>
      <c r="DH32" t="s">
        <v>6</v>
      </c>
      <c r="DI32" t="s">
        <v>6</v>
      </c>
      <c r="DJ32" t="s">
        <v>6</v>
      </c>
      <c r="DK32" t="s">
        <v>6</v>
      </c>
      <c r="DL32" t="s">
        <v>6</v>
      </c>
      <c r="DM32" t="s">
        <v>6</v>
      </c>
      <c r="DN32">
        <v>0</v>
      </c>
      <c r="DO32">
        <v>0</v>
      </c>
      <c r="DP32">
        <v>1</v>
      </c>
      <c r="DQ32">
        <v>1</v>
      </c>
      <c r="DU32">
        <v>1009</v>
      </c>
      <c r="DV32" t="s">
        <v>30</v>
      </c>
      <c r="DW32" t="s">
        <v>30</v>
      </c>
      <c r="DX32">
        <v>1000</v>
      </c>
      <c r="EE32">
        <v>27463208</v>
      </c>
      <c r="EF32">
        <v>6</v>
      </c>
      <c r="EG32" t="s">
        <v>22</v>
      </c>
      <c r="EH32">
        <v>0</v>
      </c>
      <c r="EI32" t="s">
        <v>6</v>
      </c>
      <c r="EJ32">
        <v>1</v>
      </c>
      <c r="EK32">
        <v>58001</v>
      </c>
      <c r="EL32" t="s">
        <v>23</v>
      </c>
      <c r="EM32" t="s">
        <v>24</v>
      </c>
      <c r="EO32" t="s">
        <v>6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FQ32">
        <v>0</v>
      </c>
      <c r="FR32">
        <f t="shared" si="43"/>
        <v>0</v>
      </c>
      <c r="FS32">
        <v>0</v>
      </c>
      <c r="FV32" t="s">
        <v>25</v>
      </c>
      <c r="FW32" t="s">
        <v>26</v>
      </c>
      <c r="FX32">
        <v>83</v>
      </c>
      <c r="FY32">
        <v>65</v>
      </c>
      <c r="GA32" t="s">
        <v>31</v>
      </c>
      <c r="GD32">
        <v>0</v>
      </c>
      <c r="GF32">
        <v>-179832266</v>
      </c>
      <c r="GG32">
        <v>2</v>
      </c>
      <c r="GH32">
        <v>1</v>
      </c>
      <c r="GI32">
        <v>-2</v>
      </c>
      <c r="GJ32">
        <v>0</v>
      </c>
      <c r="GK32">
        <f>ROUND(R32*(R12)/100,2)</f>
        <v>0</v>
      </c>
      <c r="GL32">
        <f t="shared" si="44"/>
        <v>0</v>
      </c>
      <c r="GM32">
        <f t="shared" si="45"/>
        <v>0</v>
      </c>
      <c r="GN32">
        <f t="shared" si="46"/>
        <v>0</v>
      </c>
      <c r="GO32">
        <f t="shared" si="47"/>
        <v>0</v>
      </c>
      <c r="GP32">
        <f t="shared" si="48"/>
        <v>0</v>
      </c>
      <c r="GR32">
        <v>0</v>
      </c>
      <c r="GS32">
        <v>4</v>
      </c>
      <c r="GT32">
        <v>0</v>
      </c>
      <c r="GU32" t="s">
        <v>6</v>
      </c>
      <c r="GV32">
        <f t="shared" si="49"/>
        <v>0</v>
      </c>
      <c r="GW32">
        <v>1</v>
      </c>
      <c r="GX32">
        <f t="shared" si="50"/>
        <v>0</v>
      </c>
      <c r="HA32">
        <v>0</v>
      </c>
      <c r="HB32">
        <v>0</v>
      </c>
      <c r="IK32">
        <v>0</v>
      </c>
    </row>
    <row r="33" spans="1:245">
      <c r="A33">
        <v>18</v>
      </c>
      <c r="B33">
        <v>1</v>
      </c>
      <c r="C33">
        <v>25</v>
      </c>
      <c r="E33" t="s">
        <v>66</v>
      </c>
      <c r="F33" t="s">
        <v>67</v>
      </c>
      <c r="G33" t="s">
        <v>68</v>
      </c>
      <c r="H33" t="s">
        <v>30</v>
      </c>
      <c r="I33">
        <f>I31*J33</f>
        <v>0.18018000000000001</v>
      </c>
      <c r="J33">
        <v>2.1000000000000001E-2</v>
      </c>
      <c r="O33">
        <f t="shared" si="14"/>
        <v>795.79</v>
      </c>
      <c r="P33">
        <f t="shared" si="15"/>
        <v>795.79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28315699</v>
      </c>
      <c r="AB33">
        <f t="shared" si="25"/>
        <v>412</v>
      </c>
      <c r="AC33">
        <f t="shared" si="26"/>
        <v>412</v>
      </c>
      <c r="AD33">
        <f>ROUND((((ET33)-(EU33))+AE33),6)</f>
        <v>0</v>
      </c>
      <c r="AE33">
        <f t="shared" si="51"/>
        <v>0</v>
      </c>
      <c r="AF33">
        <f t="shared" si="51"/>
        <v>0</v>
      </c>
      <c r="AG33">
        <f t="shared" si="29"/>
        <v>0</v>
      </c>
      <c r="AH33">
        <f t="shared" si="52"/>
        <v>0</v>
      </c>
      <c r="AI33">
        <f t="shared" si="52"/>
        <v>0</v>
      </c>
      <c r="AJ33">
        <f t="shared" si="31"/>
        <v>0</v>
      </c>
      <c r="AK33">
        <v>412</v>
      </c>
      <c r="AL33">
        <v>412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71</v>
      </c>
      <c r="AU33">
        <v>52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10.72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69</v>
      </c>
      <c r="BM33">
        <v>58001</v>
      </c>
      <c r="BN33">
        <v>0</v>
      </c>
      <c r="BO33" t="s">
        <v>67</v>
      </c>
      <c r="BP33">
        <v>1</v>
      </c>
      <c r="BQ33">
        <v>6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83</v>
      </c>
      <c r="CA33">
        <v>65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2"/>
        <v>795.79</v>
      </c>
      <c r="CQ33">
        <f t="shared" si="33"/>
        <v>4416.6400000000003</v>
      </c>
      <c r="CR33">
        <f t="shared" si="34"/>
        <v>0</v>
      </c>
      <c r="CS33">
        <f t="shared" si="35"/>
        <v>0</v>
      </c>
      <c r="CT33">
        <f t="shared" si="36"/>
        <v>0</v>
      </c>
      <c r="CU33">
        <f t="shared" si="37"/>
        <v>0</v>
      </c>
      <c r="CV33">
        <f t="shared" si="38"/>
        <v>0</v>
      </c>
      <c r="CW33">
        <f t="shared" si="39"/>
        <v>0</v>
      </c>
      <c r="CX33">
        <f t="shared" si="40"/>
        <v>0</v>
      </c>
      <c r="CY33">
        <f t="shared" si="41"/>
        <v>0</v>
      </c>
      <c r="CZ33">
        <f t="shared" si="42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1009</v>
      </c>
      <c r="DV33" t="s">
        <v>30</v>
      </c>
      <c r="DW33" t="s">
        <v>30</v>
      </c>
      <c r="DX33">
        <v>1000</v>
      </c>
      <c r="EE33">
        <v>27463208</v>
      </c>
      <c r="EF33">
        <v>6</v>
      </c>
      <c r="EG33" t="s">
        <v>22</v>
      </c>
      <c r="EH33">
        <v>0</v>
      </c>
      <c r="EI33" t="s">
        <v>6</v>
      </c>
      <c r="EJ33">
        <v>1</v>
      </c>
      <c r="EK33">
        <v>58001</v>
      </c>
      <c r="EL33" t="s">
        <v>23</v>
      </c>
      <c r="EM33" t="s">
        <v>24</v>
      </c>
      <c r="EO33" t="s">
        <v>6</v>
      </c>
      <c r="EQ33">
        <v>0</v>
      </c>
      <c r="ER33">
        <v>412</v>
      </c>
      <c r="ES33">
        <v>412</v>
      </c>
      <c r="ET33">
        <v>0</v>
      </c>
      <c r="EU33">
        <v>0</v>
      </c>
      <c r="EV33">
        <v>0</v>
      </c>
      <c r="EW33">
        <v>0</v>
      </c>
      <c r="EX33">
        <v>0</v>
      </c>
      <c r="FQ33">
        <v>0</v>
      </c>
      <c r="FR33">
        <f t="shared" si="43"/>
        <v>0</v>
      </c>
      <c r="FS33">
        <v>0</v>
      </c>
      <c r="FV33" t="s">
        <v>25</v>
      </c>
      <c r="FW33" t="s">
        <v>26</v>
      </c>
      <c r="FX33">
        <v>83</v>
      </c>
      <c r="FY33">
        <v>65</v>
      </c>
      <c r="GA33" t="s">
        <v>6</v>
      </c>
      <c r="GD33">
        <v>0</v>
      </c>
      <c r="GF33">
        <v>-1187323236</v>
      </c>
      <c r="GG33">
        <v>2</v>
      </c>
      <c r="GH33">
        <v>1</v>
      </c>
      <c r="GI33">
        <v>2</v>
      </c>
      <c r="GJ33">
        <v>0</v>
      </c>
      <c r="GK33">
        <f>ROUND(R33*(R12)/100,2)</f>
        <v>0</v>
      </c>
      <c r="GL33">
        <f t="shared" si="44"/>
        <v>0</v>
      </c>
      <c r="GM33">
        <f t="shared" si="45"/>
        <v>795.79</v>
      </c>
      <c r="GN33">
        <f t="shared" si="46"/>
        <v>795.79</v>
      </c>
      <c r="GO33">
        <f t="shared" si="47"/>
        <v>0</v>
      </c>
      <c r="GP33">
        <f t="shared" si="48"/>
        <v>0</v>
      </c>
      <c r="GR33">
        <v>0</v>
      </c>
      <c r="GS33">
        <v>3</v>
      </c>
      <c r="GT33">
        <v>0</v>
      </c>
      <c r="GU33" t="s">
        <v>6</v>
      </c>
      <c r="GV33">
        <f t="shared" si="49"/>
        <v>0</v>
      </c>
      <c r="GW33">
        <v>1</v>
      </c>
      <c r="GX33">
        <f t="shared" si="50"/>
        <v>0</v>
      </c>
      <c r="HA33">
        <v>0</v>
      </c>
      <c r="HB33">
        <v>0</v>
      </c>
      <c r="IK33">
        <v>0</v>
      </c>
    </row>
    <row r="34" spans="1:245">
      <c r="A34">
        <v>18</v>
      </c>
      <c r="B34">
        <v>1</v>
      </c>
      <c r="C34">
        <v>26</v>
      </c>
      <c r="E34" t="s">
        <v>70</v>
      </c>
      <c r="F34" t="s">
        <v>71</v>
      </c>
      <c r="G34" t="s">
        <v>72</v>
      </c>
      <c r="H34" t="s">
        <v>73</v>
      </c>
      <c r="I34">
        <f>I31*J34</f>
        <v>18.3612</v>
      </c>
      <c r="J34">
        <v>2.14</v>
      </c>
      <c r="O34">
        <f t="shared" si="14"/>
        <v>54306.22</v>
      </c>
      <c r="P34">
        <f t="shared" si="15"/>
        <v>54306.22</v>
      </c>
      <c r="Q34">
        <f t="shared" si="16"/>
        <v>0</v>
      </c>
      <c r="R34">
        <f t="shared" si="17"/>
        <v>0</v>
      </c>
      <c r="S34">
        <f t="shared" si="18"/>
        <v>0</v>
      </c>
      <c r="T34">
        <f t="shared" si="19"/>
        <v>0</v>
      </c>
      <c r="U34">
        <f t="shared" si="20"/>
        <v>0</v>
      </c>
      <c r="V34">
        <f t="shared" si="21"/>
        <v>0</v>
      </c>
      <c r="W34">
        <f t="shared" si="22"/>
        <v>0</v>
      </c>
      <c r="X34">
        <f t="shared" si="23"/>
        <v>0</v>
      </c>
      <c r="Y34">
        <f t="shared" si="24"/>
        <v>0</v>
      </c>
      <c r="AA34">
        <v>28315699</v>
      </c>
      <c r="AB34">
        <f t="shared" si="25"/>
        <v>519.79999999999995</v>
      </c>
      <c r="AC34">
        <f t="shared" si="26"/>
        <v>519.79999999999995</v>
      </c>
      <c r="AD34">
        <f>ROUND((((ET34)-(EU34))+AE34),6)</f>
        <v>0</v>
      </c>
      <c r="AE34">
        <f t="shared" si="51"/>
        <v>0</v>
      </c>
      <c r="AF34">
        <f t="shared" si="51"/>
        <v>0</v>
      </c>
      <c r="AG34">
        <f t="shared" si="29"/>
        <v>0</v>
      </c>
      <c r="AH34">
        <f t="shared" si="52"/>
        <v>0</v>
      </c>
      <c r="AI34">
        <f t="shared" si="52"/>
        <v>0</v>
      </c>
      <c r="AJ34">
        <f t="shared" si="31"/>
        <v>0</v>
      </c>
      <c r="AK34">
        <v>519.79999999999995</v>
      </c>
      <c r="AL34">
        <v>519.79999999999995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71</v>
      </c>
      <c r="AU34">
        <v>52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5.69</v>
      </c>
      <c r="BD34" t="s">
        <v>6</v>
      </c>
      <c r="BE34" t="s">
        <v>6</v>
      </c>
      <c r="BF34" t="s">
        <v>6</v>
      </c>
      <c r="BG34" t="s">
        <v>6</v>
      </c>
      <c r="BH34">
        <v>3</v>
      </c>
      <c r="BI34">
        <v>1</v>
      </c>
      <c r="BJ34" t="s">
        <v>74</v>
      </c>
      <c r="BM34">
        <v>58001</v>
      </c>
      <c r="BN34">
        <v>0</v>
      </c>
      <c r="BO34" t="s">
        <v>71</v>
      </c>
      <c r="BP34">
        <v>1</v>
      </c>
      <c r="BQ34">
        <v>6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6</v>
      </c>
      <c r="BZ34">
        <v>83</v>
      </c>
      <c r="CA34">
        <v>65</v>
      </c>
      <c r="CF34">
        <v>0</v>
      </c>
      <c r="CG34">
        <v>0</v>
      </c>
      <c r="CM34">
        <v>0</v>
      </c>
      <c r="CN34" t="s">
        <v>6</v>
      </c>
      <c r="CO34">
        <v>0</v>
      </c>
      <c r="CP34">
        <f t="shared" si="32"/>
        <v>54306.22</v>
      </c>
      <c r="CQ34">
        <f t="shared" si="33"/>
        <v>2957.6619999999998</v>
      </c>
      <c r="CR34">
        <f t="shared" si="34"/>
        <v>0</v>
      </c>
      <c r="CS34">
        <f t="shared" si="35"/>
        <v>0</v>
      </c>
      <c r="CT34">
        <f t="shared" si="36"/>
        <v>0</v>
      </c>
      <c r="CU34">
        <f t="shared" si="37"/>
        <v>0</v>
      </c>
      <c r="CV34">
        <f t="shared" si="38"/>
        <v>0</v>
      </c>
      <c r="CW34">
        <f t="shared" si="39"/>
        <v>0</v>
      </c>
      <c r="CX34">
        <f t="shared" si="40"/>
        <v>0</v>
      </c>
      <c r="CY34">
        <f t="shared" si="41"/>
        <v>0</v>
      </c>
      <c r="CZ34">
        <f t="shared" si="42"/>
        <v>0</v>
      </c>
      <c r="DC34" t="s">
        <v>6</v>
      </c>
      <c r="DD34" t="s">
        <v>6</v>
      </c>
      <c r="DE34" t="s">
        <v>6</v>
      </c>
      <c r="DF34" t="s">
        <v>6</v>
      </c>
      <c r="DG34" t="s">
        <v>6</v>
      </c>
      <c r="DH34" t="s">
        <v>6</v>
      </c>
      <c r="DI34" t="s">
        <v>6</v>
      </c>
      <c r="DJ34" t="s">
        <v>6</v>
      </c>
      <c r="DK34" t="s">
        <v>6</v>
      </c>
      <c r="DL34" t="s">
        <v>6</v>
      </c>
      <c r="DM34" t="s">
        <v>6</v>
      </c>
      <c r="DN34">
        <v>0</v>
      </c>
      <c r="DO34">
        <v>0</v>
      </c>
      <c r="DP34">
        <v>1</v>
      </c>
      <c r="DQ34">
        <v>1</v>
      </c>
      <c r="DU34">
        <v>1007</v>
      </c>
      <c r="DV34" t="s">
        <v>73</v>
      </c>
      <c r="DW34" t="s">
        <v>73</v>
      </c>
      <c r="DX34">
        <v>1</v>
      </c>
      <c r="EE34">
        <v>27463208</v>
      </c>
      <c r="EF34">
        <v>6</v>
      </c>
      <c r="EG34" t="s">
        <v>22</v>
      </c>
      <c r="EH34">
        <v>0</v>
      </c>
      <c r="EI34" t="s">
        <v>6</v>
      </c>
      <c r="EJ34">
        <v>1</v>
      </c>
      <c r="EK34">
        <v>58001</v>
      </c>
      <c r="EL34" t="s">
        <v>23</v>
      </c>
      <c r="EM34" t="s">
        <v>24</v>
      </c>
      <c r="EO34" t="s">
        <v>6</v>
      </c>
      <c r="EQ34">
        <v>0</v>
      </c>
      <c r="ER34">
        <v>519.79999999999995</v>
      </c>
      <c r="ES34">
        <v>519.79999999999995</v>
      </c>
      <c r="ET34">
        <v>0</v>
      </c>
      <c r="EU34">
        <v>0</v>
      </c>
      <c r="EV34">
        <v>0</v>
      </c>
      <c r="EW34">
        <v>0</v>
      </c>
      <c r="EX34">
        <v>0</v>
      </c>
      <c r="FQ34">
        <v>0</v>
      </c>
      <c r="FR34">
        <f t="shared" si="43"/>
        <v>0</v>
      </c>
      <c r="FS34">
        <v>0</v>
      </c>
      <c r="FV34" t="s">
        <v>25</v>
      </c>
      <c r="FW34" t="s">
        <v>26</v>
      </c>
      <c r="FX34">
        <v>83</v>
      </c>
      <c r="FY34">
        <v>65</v>
      </c>
      <c r="GA34" t="s">
        <v>6</v>
      </c>
      <c r="GD34">
        <v>0</v>
      </c>
      <c r="GF34">
        <v>519185539</v>
      </c>
      <c r="GG34">
        <v>2</v>
      </c>
      <c r="GH34">
        <v>1</v>
      </c>
      <c r="GI34">
        <v>2</v>
      </c>
      <c r="GJ34">
        <v>0</v>
      </c>
      <c r="GK34">
        <f>ROUND(R34*(R12)/100,2)</f>
        <v>0</v>
      </c>
      <c r="GL34">
        <f t="shared" si="44"/>
        <v>0</v>
      </c>
      <c r="GM34">
        <f t="shared" si="45"/>
        <v>54306.22</v>
      </c>
      <c r="GN34">
        <f t="shared" si="46"/>
        <v>54306.22</v>
      </c>
      <c r="GO34">
        <f t="shared" si="47"/>
        <v>0</v>
      </c>
      <c r="GP34">
        <f t="shared" si="48"/>
        <v>0</v>
      </c>
      <c r="GR34">
        <v>0</v>
      </c>
      <c r="GS34">
        <v>3</v>
      </c>
      <c r="GT34">
        <v>0</v>
      </c>
      <c r="GU34" t="s">
        <v>6</v>
      </c>
      <c r="GV34">
        <f t="shared" si="49"/>
        <v>0</v>
      </c>
      <c r="GW34">
        <v>1</v>
      </c>
      <c r="GX34">
        <f t="shared" si="50"/>
        <v>0</v>
      </c>
      <c r="HA34">
        <v>0</v>
      </c>
      <c r="HB34">
        <v>0</v>
      </c>
      <c r="IK34">
        <v>0</v>
      </c>
    </row>
    <row r="35" spans="1:245">
      <c r="A35">
        <v>17</v>
      </c>
      <c r="B35">
        <v>1</v>
      </c>
      <c r="C35">
        <f>ROW(SmtRes!A29)</f>
        <v>29</v>
      </c>
      <c r="D35">
        <f>ROW(EtalonRes!A29)</f>
        <v>29</v>
      </c>
      <c r="E35" t="s">
        <v>75</v>
      </c>
      <c r="F35" t="s">
        <v>76</v>
      </c>
      <c r="G35" t="s">
        <v>77</v>
      </c>
      <c r="H35" t="s">
        <v>78</v>
      </c>
      <c r="I35">
        <v>0.3</v>
      </c>
      <c r="J35">
        <v>0</v>
      </c>
      <c r="O35">
        <f t="shared" si="14"/>
        <v>9023.5400000000009</v>
      </c>
      <c r="P35">
        <f t="shared" si="15"/>
        <v>0</v>
      </c>
      <c r="Q35">
        <f t="shared" si="16"/>
        <v>851.18</v>
      </c>
      <c r="R35">
        <f t="shared" si="17"/>
        <v>0</v>
      </c>
      <c r="S35">
        <f t="shared" si="18"/>
        <v>8172.36</v>
      </c>
      <c r="T35">
        <f t="shared" si="19"/>
        <v>0</v>
      </c>
      <c r="U35">
        <f t="shared" si="20"/>
        <v>33.192</v>
      </c>
      <c r="V35">
        <f t="shared" si="21"/>
        <v>0</v>
      </c>
      <c r="W35">
        <f t="shared" si="22"/>
        <v>0</v>
      </c>
      <c r="X35">
        <f t="shared" si="23"/>
        <v>7682.02</v>
      </c>
      <c r="Y35">
        <f t="shared" si="24"/>
        <v>3922.73</v>
      </c>
      <c r="AA35">
        <v>28315699</v>
      </c>
      <c r="AB35">
        <f t="shared" si="25"/>
        <v>2139.2600000000002</v>
      </c>
      <c r="AC35">
        <f t="shared" si="26"/>
        <v>0</v>
      </c>
      <c r="AD35">
        <f>ROUND((((ET35)-(EU35))+AE35),6)</f>
        <v>1087.07</v>
      </c>
      <c r="AE35">
        <f t="shared" si="51"/>
        <v>0</v>
      </c>
      <c r="AF35">
        <f t="shared" si="51"/>
        <v>1052.19</v>
      </c>
      <c r="AG35">
        <f t="shared" si="29"/>
        <v>0</v>
      </c>
      <c r="AH35">
        <f t="shared" si="52"/>
        <v>110.64</v>
      </c>
      <c r="AI35">
        <f t="shared" si="52"/>
        <v>0</v>
      </c>
      <c r="AJ35">
        <f t="shared" si="31"/>
        <v>0</v>
      </c>
      <c r="AK35">
        <v>2139.2600000000002</v>
      </c>
      <c r="AL35">
        <v>0</v>
      </c>
      <c r="AM35">
        <v>1087.07</v>
      </c>
      <c r="AN35">
        <v>0</v>
      </c>
      <c r="AO35">
        <v>1052.19</v>
      </c>
      <c r="AP35">
        <v>0</v>
      </c>
      <c r="AQ35">
        <v>110.64</v>
      </c>
      <c r="AR35">
        <v>0</v>
      </c>
      <c r="AS35">
        <v>0</v>
      </c>
      <c r="AT35">
        <v>94</v>
      </c>
      <c r="AU35">
        <v>48</v>
      </c>
      <c r="AV35">
        <v>1</v>
      </c>
      <c r="AW35">
        <v>1</v>
      </c>
      <c r="AZ35">
        <v>1</v>
      </c>
      <c r="BA35">
        <v>25.89</v>
      </c>
      <c r="BB35">
        <v>2.61</v>
      </c>
      <c r="BC35">
        <v>1</v>
      </c>
      <c r="BD35" t="s">
        <v>6</v>
      </c>
      <c r="BE35" t="s">
        <v>6</v>
      </c>
      <c r="BF35" t="s">
        <v>6</v>
      </c>
      <c r="BG35" t="s">
        <v>6</v>
      </c>
      <c r="BH35">
        <v>0</v>
      </c>
      <c r="BI35">
        <v>1</v>
      </c>
      <c r="BJ35" t="s">
        <v>79</v>
      </c>
      <c r="BM35">
        <v>46001</v>
      </c>
      <c r="BN35">
        <v>0</v>
      </c>
      <c r="BO35" t="s">
        <v>76</v>
      </c>
      <c r="BP35">
        <v>1</v>
      </c>
      <c r="BQ35">
        <v>2</v>
      </c>
      <c r="BR35">
        <v>0</v>
      </c>
      <c r="BS35">
        <v>25.89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110</v>
      </c>
      <c r="CA35">
        <v>70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2"/>
        <v>9023.5399999999991</v>
      </c>
      <c r="CQ35">
        <f t="shared" si="33"/>
        <v>0</v>
      </c>
      <c r="CR35">
        <f t="shared" si="34"/>
        <v>2837.2526999999995</v>
      </c>
      <c r="CS35">
        <f t="shared" si="35"/>
        <v>0</v>
      </c>
      <c r="CT35">
        <f t="shared" si="36"/>
        <v>27241.199100000002</v>
      </c>
      <c r="CU35">
        <f t="shared" si="37"/>
        <v>0</v>
      </c>
      <c r="CV35">
        <f t="shared" si="38"/>
        <v>110.64</v>
      </c>
      <c r="CW35">
        <f t="shared" si="39"/>
        <v>0</v>
      </c>
      <c r="CX35">
        <f t="shared" si="40"/>
        <v>0</v>
      </c>
      <c r="CY35">
        <f t="shared" si="41"/>
        <v>7682.0183999999999</v>
      </c>
      <c r="CZ35">
        <f t="shared" si="42"/>
        <v>3922.7327999999998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78</v>
      </c>
      <c r="DW35" t="s">
        <v>78</v>
      </c>
      <c r="DX35">
        <v>1</v>
      </c>
      <c r="EE35">
        <v>27463193</v>
      </c>
      <c r="EF35">
        <v>2</v>
      </c>
      <c r="EG35" t="s">
        <v>37</v>
      </c>
      <c r="EH35">
        <v>0</v>
      </c>
      <c r="EI35" t="s">
        <v>6</v>
      </c>
      <c r="EJ35">
        <v>1</v>
      </c>
      <c r="EK35">
        <v>46001</v>
      </c>
      <c r="EL35" t="s">
        <v>38</v>
      </c>
      <c r="EM35" t="s">
        <v>39</v>
      </c>
      <c r="EO35" t="s">
        <v>6</v>
      </c>
      <c r="EQ35">
        <v>0</v>
      </c>
      <c r="ER35">
        <v>2139.2600000000002</v>
      </c>
      <c r="ES35">
        <v>0</v>
      </c>
      <c r="ET35">
        <v>1087.07</v>
      </c>
      <c r="EU35">
        <v>0</v>
      </c>
      <c r="EV35">
        <v>1052.19</v>
      </c>
      <c r="EW35">
        <v>110.64</v>
      </c>
      <c r="EX35">
        <v>0</v>
      </c>
      <c r="EY35">
        <v>0</v>
      </c>
      <c r="FQ35">
        <v>0</v>
      </c>
      <c r="FR35">
        <f t="shared" si="43"/>
        <v>0</v>
      </c>
      <c r="FS35">
        <v>0</v>
      </c>
      <c r="FU35" t="s">
        <v>25</v>
      </c>
      <c r="FV35" t="s">
        <v>25</v>
      </c>
      <c r="FW35" t="s">
        <v>26</v>
      </c>
      <c r="FX35">
        <v>110</v>
      </c>
      <c r="FY35">
        <v>59.5</v>
      </c>
      <c r="GA35" t="s">
        <v>6</v>
      </c>
      <c r="GD35">
        <v>0</v>
      </c>
      <c r="GF35">
        <v>2002639967</v>
      </c>
      <c r="GG35">
        <v>2</v>
      </c>
      <c r="GH35">
        <v>1</v>
      </c>
      <c r="GI35">
        <v>2</v>
      </c>
      <c r="GJ35">
        <v>0</v>
      </c>
      <c r="GK35">
        <f>ROUND(R35*(R12)/100,2)</f>
        <v>0</v>
      </c>
      <c r="GL35">
        <f t="shared" si="44"/>
        <v>0</v>
      </c>
      <c r="GM35">
        <f t="shared" si="45"/>
        <v>20628.29</v>
      </c>
      <c r="GN35">
        <f t="shared" si="46"/>
        <v>20628.29</v>
      </c>
      <c r="GO35">
        <f t="shared" si="47"/>
        <v>0</v>
      </c>
      <c r="GP35">
        <f t="shared" si="48"/>
        <v>0</v>
      </c>
      <c r="GR35">
        <v>0</v>
      </c>
      <c r="GS35">
        <v>3</v>
      </c>
      <c r="GT35">
        <v>0</v>
      </c>
      <c r="GU35" t="s">
        <v>6</v>
      </c>
      <c r="GV35">
        <f t="shared" si="49"/>
        <v>0</v>
      </c>
      <c r="GW35">
        <v>1</v>
      </c>
      <c r="GX35">
        <f t="shared" si="50"/>
        <v>0</v>
      </c>
      <c r="HA35">
        <v>0</v>
      </c>
      <c r="HB35">
        <v>0</v>
      </c>
      <c r="IK35">
        <v>0</v>
      </c>
    </row>
    <row r="36" spans="1:245">
      <c r="A36">
        <v>17</v>
      </c>
      <c r="B36">
        <v>1</v>
      </c>
      <c r="C36">
        <f>ROW(SmtRes!A37)</f>
        <v>37</v>
      </c>
      <c r="D36">
        <f>ROW(EtalonRes!A38)</f>
        <v>38</v>
      </c>
      <c r="E36" t="s">
        <v>80</v>
      </c>
      <c r="F36" t="s">
        <v>81</v>
      </c>
      <c r="G36" t="s">
        <v>82</v>
      </c>
      <c r="H36" t="s">
        <v>83</v>
      </c>
      <c r="I36">
        <v>3</v>
      </c>
      <c r="J36">
        <v>0</v>
      </c>
      <c r="O36">
        <f t="shared" si="14"/>
        <v>2353.42</v>
      </c>
      <c r="P36">
        <f t="shared" si="15"/>
        <v>75.61</v>
      </c>
      <c r="Q36">
        <f t="shared" si="16"/>
        <v>52.84</v>
      </c>
      <c r="R36">
        <f t="shared" si="17"/>
        <v>11.65</v>
      </c>
      <c r="S36">
        <f t="shared" si="18"/>
        <v>2224.9699999999998</v>
      </c>
      <c r="T36">
        <f t="shared" si="19"/>
        <v>0</v>
      </c>
      <c r="U36">
        <f t="shared" si="20"/>
        <v>10.073999999999998</v>
      </c>
      <c r="V36">
        <f t="shared" si="21"/>
        <v>3.7500000000000006E-2</v>
      </c>
      <c r="W36">
        <f t="shared" si="22"/>
        <v>0</v>
      </c>
      <c r="X36">
        <f t="shared" si="23"/>
        <v>2437.92</v>
      </c>
      <c r="Y36">
        <f t="shared" si="24"/>
        <v>1252.51</v>
      </c>
      <c r="AA36">
        <v>28315699</v>
      </c>
      <c r="AB36">
        <f t="shared" si="25"/>
        <v>36.296500000000002</v>
      </c>
      <c r="AC36">
        <f t="shared" si="26"/>
        <v>4.25</v>
      </c>
      <c r="AD36">
        <f>ROUND(((((ET36*1.25))-((EU36*1.25)))+AE36),6)</f>
        <v>3.4</v>
      </c>
      <c r="AE36">
        <f>ROUND(((EU36*1.25)),6)</f>
        <v>0.15</v>
      </c>
      <c r="AF36">
        <f>ROUND(((EV36*1.15)),6)</f>
        <v>28.6465</v>
      </c>
      <c r="AG36">
        <f t="shared" si="29"/>
        <v>0</v>
      </c>
      <c r="AH36">
        <f>((EW36*1.15))</f>
        <v>3.3579999999999997</v>
      </c>
      <c r="AI36">
        <f>((EX36*1.25))</f>
        <v>1.2500000000000001E-2</v>
      </c>
      <c r="AJ36">
        <f t="shared" si="31"/>
        <v>0</v>
      </c>
      <c r="AK36">
        <v>31.88</v>
      </c>
      <c r="AL36">
        <v>4.25</v>
      </c>
      <c r="AM36">
        <v>2.72</v>
      </c>
      <c r="AN36">
        <v>0.12</v>
      </c>
      <c r="AO36">
        <v>24.91</v>
      </c>
      <c r="AP36">
        <v>0</v>
      </c>
      <c r="AQ36">
        <v>2.92</v>
      </c>
      <c r="AR36">
        <v>0.01</v>
      </c>
      <c r="AS36">
        <v>0</v>
      </c>
      <c r="AT36">
        <v>109</v>
      </c>
      <c r="AU36">
        <v>56</v>
      </c>
      <c r="AV36">
        <v>1</v>
      </c>
      <c r="AW36">
        <v>1</v>
      </c>
      <c r="AZ36">
        <v>1</v>
      </c>
      <c r="BA36">
        <v>25.89</v>
      </c>
      <c r="BB36">
        <v>5.18</v>
      </c>
      <c r="BC36">
        <v>5.93</v>
      </c>
      <c r="BD36" t="s">
        <v>6</v>
      </c>
      <c r="BE36" t="s">
        <v>6</v>
      </c>
      <c r="BF36" t="s">
        <v>6</v>
      </c>
      <c r="BG36" t="s">
        <v>6</v>
      </c>
      <c r="BH36">
        <v>0</v>
      </c>
      <c r="BI36">
        <v>1</v>
      </c>
      <c r="BJ36" t="s">
        <v>84</v>
      </c>
      <c r="BM36">
        <v>20001</v>
      </c>
      <c r="BN36">
        <v>0</v>
      </c>
      <c r="BO36" t="s">
        <v>81</v>
      </c>
      <c r="BP36">
        <v>1</v>
      </c>
      <c r="BQ36">
        <v>2</v>
      </c>
      <c r="BR36">
        <v>0</v>
      </c>
      <c r="BS36">
        <v>25.89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6</v>
      </c>
      <c r="BZ36">
        <v>128</v>
      </c>
      <c r="CA36">
        <v>83</v>
      </c>
      <c r="CF36">
        <v>0</v>
      </c>
      <c r="CG36">
        <v>0</v>
      </c>
      <c r="CM36">
        <v>0</v>
      </c>
      <c r="CN36" t="s">
        <v>54</v>
      </c>
      <c r="CO36">
        <v>0</v>
      </c>
      <c r="CP36">
        <f t="shared" si="32"/>
        <v>2353.4199999999996</v>
      </c>
      <c r="CQ36">
        <f t="shared" si="33"/>
        <v>25.202500000000001</v>
      </c>
      <c r="CR36">
        <f t="shared" si="34"/>
        <v>17.611999999999998</v>
      </c>
      <c r="CS36">
        <f t="shared" si="35"/>
        <v>3.8834999999999997</v>
      </c>
      <c r="CT36">
        <f t="shared" si="36"/>
        <v>741.65788499999996</v>
      </c>
      <c r="CU36">
        <f t="shared" si="37"/>
        <v>0</v>
      </c>
      <c r="CV36">
        <f t="shared" si="38"/>
        <v>3.3579999999999997</v>
      </c>
      <c r="CW36">
        <f t="shared" si="39"/>
        <v>1.2500000000000001E-2</v>
      </c>
      <c r="CX36">
        <f t="shared" si="40"/>
        <v>0</v>
      </c>
      <c r="CY36">
        <f t="shared" si="41"/>
        <v>2437.9157999999998</v>
      </c>
      <c r="CZ36">
        <f t="shared" si="42"/>
        <v>1252.5072</v>
      </c>
      <c r="DC36" t="s">
        <v>6</v>
      </c>
      <c r="DD36" t="s">
        <v>6</v>
      </c>
      <c r="DE36" t="s">
        <v>55</v>
      </c>
      <c r="DF36" t="s">
        <v>55</v>
      </c>
      <c r="DG36" t="s">
        <v>56</v>
      </c>
      <c r="DH36" t="s">
        <v>6</v>
      </c>
      <c r="DI36" t="s">
        <v>56</v>
      </c>
      <c r="DJ36" t="s">
        <v>55</v>
      </c>
      <c r="DK36" t="s">
        <v>6</v>
      </c>
      <c r="DL36" t="s">
        <v>6</v>
      </c>
      <c r="DM36" t="s">
        <v>6</v>
      </c>
      <c r="DN36">
        <v>0</v>
      </c>
      <c r="DO36">
        <v>0</v>
      </c>
      <c r="DP36">
        <v>1</v>
      </c>
      <c r="DQ36">
        <v>1</v>
      </c>
      <c r="DU36">
        <v>1013</v>
      </c>
      <c r="DV36" t="s">
        <v>83</v>
      </c>
      <c r="DW36" t="s">
        <v>83</v>
      </c>
      <c r="DX36">
        <v>1</v>
      </c>
      <c r="EE36">
        <v>27463160</v>
      </c>
      <c r="EF36">
        <v>2</v>
      </c>
      <c r="EG36" t="s">
        <v>37</v>
      </c>
      <c r="EH36">
        <v>0</v>
      </c>
      <c r="EI36" t="s">
        <v>6</v>
      </c>
      <c r="EJ36">
        <v>1</v>
      </c>
      <c r="EK36">
        <v>20001</v>
      </c>
      <c r="EL36" t="s">
        <v>85</v>
      </c>
      <c r="EM36" t="s">
        <v>86</v>
      </c>
      <c r="EO36" t="s">
        <v>59</v>
      </c>
      <c r="EQ36">
        <v>0</v>
      </c>
      <c r="ER36">
        <v>31.88</v>
      </c>
      <c r="ES36">
        <v>4.25</v>
      </c>
      <c r="ET36">
        <v>2.72</v>
      </c>
      <c r="EU36">
        <v>0.12</v>
      </c>
      <c r="EV36">
        <v>24.91</v>
      </c>
      <c r="EW36">
        <v>2.92</v>
      </c>
      <c r="EX36">
        <v>0.01</v>
      </c>
      <c r="EY36">
        <v>0</v>
      </c>
      <c r="FQ36">
        <v>0</v>
      </c>
      <c r="FR36">
        <f t="shared" si="43"/>
        <v>0</v>
      </c>
      <c r="FS36">
        <v>0</v>
      </c>
      <c r="FU36" t="s">
        <v>25</v>
      </c>
      <c r="FV36" t="s">
        <v>25</v>
      </c>
      <c r="FW36" t="s">
        <v>26</v>
      </c>
      <c r="FX36">
        <v>128</v>
      </c>
      <c r="FY36">
        <v>70.55</v>
      </c>
      <c r="GA36" t="s">
        <v>6</v>
      </c>
      <c r="GD36">
        <v>0</v>
      </c>
      <c r="GF36">
        <v>-227151070</v>
      </c>
      <c r="GG36">
        <v>2</v>
      </c>
      <c r="GH36">
        <v>1</v>
      </c>
      <c r="GI36">
        <v>2</v>
      </c>
      <c r="GJ36">
        <v>0</v>
      </c>
      <c r="GK36">
        <f>ROUND(R36*(R12)/100,2)</f>
        <v>0</v>
      </c>
      <c r="GL36">
        <f t="shared" si="44"/>
        <v>0</v>
      </c>
      <c r="GM36">
        <f t="shared" si="45"/>
        <v>6043.85</v>
      </c>
      <c r="GN36">
        <f t="shared" si="46"/>
        <v>6043.85</v>
      </c>
      <c r="GO36">
        <f t="shared" si="47"/>
        <v>0</v>
      </c>
      <c r="GP36">
        <f t="shared" si="48"/>
        <v>0</v>
      </c>
      <c r="GR36">
        <v>0</v>
      </c>
      <c r="GS36">
        <v>3</v>
      </c>
      <c r="GT36">
        <v>0</v>
      </c>
      <c r="GU36" t="s">
        <v>6</v>
      </c>
      <c r="GV36">
        <f t="shared" si="49"/>
        <v>0</v>
      </c>
      <c r="GW36">
        <v>1</v>
      </c>
      <c r="GX36">
        <f t="shared" si="50"/>
        <v>0</v>
      </c>
      <c r="HA36">
        <v>0</v>
      </c>
      <c r="HB36">
        <v>0</v>
      </c>
      <c r="IK36">
        <v>0</v>
      </c>
    </row>
    <row r="37" spans="1:245">
      <c r="A37">
        <v>18</v>
      </c>
      <c r="B37">
        <v>1</v>
      </c>
      <c r="C37">
        <v>37</v>
      </c>
      <c r="E37" t="s">
        <v>87</v>
      </c>
      <c r="F37" t="s">
        <v>88</v>
      </c>
      <c r="G37" t="s">
        <v>89</v>
      </c>
      <c r="H37" t="s">
        <v>90</v>
      </c>
      <c r="I37">
        <f>I36*J37</f>
        <v>3</v>
      </c>
      <c r="J37">
        <v>1</v>
      </c>
      <c r="O37">
        <f t="shared" si="14"/>
        <v>745</v>
      </c>
      <c r="P37">
        <f t="shared" si="15"/>
        <v>745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28315699</v>
      </c>
      <c r="AB37">
        <f t="shared" si="25"/>
        <v>54.34</v>
      </c>
      <c r="AC37">
        <f t="shared" si="26"/>
        <v>54.34</v>
      </c>
      <c r="AD37">
        <f>ROUND((((ET37)-(EU37))+AE37),6)</f>
        <v>0</v>
      </c>
      <c r="AE37">
        <f>ROUND((EU37),6)</f>
        <v>0</v>
      </c>
      <c r="AF37">
        <f>ROUND((EV37),6)</f>
        <v>0</v>
      </c>
      <c r="AG37">
        <f t="shared" si="29"/>
        <v>0</v>
      </c>
      <c r="AH37">
        <f>(EW37)</f>
        <v>0</v>
      </c>
      <c r="AI37">
        <f>(EX37)</f>
        <v>0</v>
      </c>
      <c r="AJ37">
        <f t="shared" si="31"/>
        <v>0</v>
      </c>
      <c r="AK37">
        <v>54.34</v>
      </c>
      <c r="AL37">
        <v>54.34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109</v>
      </c>
      <c r="AU37">
        <v>56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4.57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91</v>
      </c>
      <c r="BM37">
        <v>20001</v>
      </c>
      <c r="BN37">
        <v>0</v>
      </c>
      <c r="BO37" t="s">
        <v>88</v>
      </c>
      <c r="BP37">
        <v>1</v>
      </c>
      <c r="BQ37">
        <v>2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128</v>
      </c>
      <c r="CA37">
        <v>83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2"/>
        <v>745</v>
      </c>
      <c r="CQ37">
        <f t="shared" si="33"/>
        <v>248.33380000000002</v>
      </c>
      <c r="CR37">
        <f t="shared" si="34"/>
        <v>0</v>
      </c>
      <c r="CS37">
        <f t="shared" si="35"/>
        <v>0</v>
      </c>
      <c r="CT37">
        <f t="shared" si="36"/>
        <v>0</v>
      </c>
      <c r="CU37">
        <f t="shared" si="37"/>
        <v>0</v>
      </c>
      <c r="CV37">
        <f t="shared" si="38"/>
        <v>0</v>
      </c>
      <c r="CW37">
        <f t="shared" si="39"/>
        <v>0</v>
      </c>
      <c r="CX37">
        <f t="shared" si="40"/>
        <v>0</v>
      </c>
      <c r="CY37">
        <f t="shared" si="41"/>
        <v>0</v>
      </c>
      <c r="CZ37">
        <f t="shared" si="42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1010</v>
      </c>
      <c r="DV37" t="s">
        <v>90</v>
      </c>
      <c r="DW37" t="s">
        <v>90</v>
      </c>
      <c r="DX37">
        <v>1</v>
      </c>
      <c r="EE37">
        <v>27463160</v>
      </c>
      <c r="EF37">
        <v>2</v>
      </c>
      <c r="EG37" t="s">
        <v>37</v>
      </c>
      <c r="EH37">
        <v>0</v>
      </c>
      <c r="EI37" t="s">
        <v>6</v>
      </c>
      <c r="EJ37">
        <v>1</v>
      </c>
      <c r="EK37">
        <v>20001</v>
      </c>
      <c r="EL37" t="s">
        <v>85</v>
      </c>
      <c r="EM37" t="s">
        <v>86</v>
      </c>
      <c r="EO37" t="s">
        <v>6</v>
      </c>
      <c r="EQ37">
        <v>0</v>
      </c>
      <c r="ER37">
        <v>54.34</v>
      </c>
      <c r="ES37">
        <v>54.34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43"/>
        <v>0</v>
      </c>
      <c r="FS37">
        <v>0</v>
      </c>
      <c r="FU37" t="s">
        <v>25</v>
      </c>
      <c r="FV37" t="s">
        <v>25</v>
      </c>
      <c r="FW37" t="s">
        <v>26</v>
      </c>
      <c r="FX37">
        <v>128</v>
      </c>
      <c r="FY37">
        <v>70.55</v>
      </c>
      <c r="GA37" t="s">
        <v>6</v>
      </c>
      <c r="GD37">
        <v>0</v>
      </c>
      <c r="GF37">
        <v>-157094020</v>
      </c>
      <c r="GG37">
        <v>2</v>
      </c>
      <c r="GH37">
        <v>1</v>
      </c>
      <c r="GI37">
        <v>2</v>
      </c>
      <c r="GJ37">
        <v>0</v>
      </c>
      <c r="GK37">
        <f>ROUND(R37*(R12)/100,2)</f>
        <v>0</v>
      </c>
      <c r="GL37">
        <f t="shared" si="44"/>
        <v>0</v>
      </c>
      <c r="GM37">
        <f t="shared" si="45"/>
        <v>745</v>
      </c>
      <c r="GN37">
        <f t="shared" si="46"/>
        <v>745</v>
      </c>
      <c r="GO37">
        <f t="shared" si="47"/>
        <v>0</v>
      </c>
      <c r="GP37">
        <f t="shared" si="48"/>
        <v>0</v>
      </c>
      <c r="GR37">
        <v>0</v>
      </c>
      <c r="GS37">
        <v>3</v>
      </c>
      <c r="GT37">
        <v>0</v>
      </c>
      <c r="GU37" t="s">
        <v>6</v>
      </c>
      <c r="GV37">
        <f t="shared" si="49"/>
        <v>0</v>
      </c>
      <c r="GW37">
        <v>1</v>
      </c>
      <c r="GX37">
        <f t="shared" si="50"/>
        <v>0</v>
      </c>
      <c r="HA37">
        <v>0</v>
      </c>
      <c r="HB37">
        <v>0</v>
      </c>
      <c r="IK37">
        <v>0</v>
      </c>
    </row>
    <row r="38" spans="1:245">
      <c r="A38">
        <v>17</v>
      </c>
      <c r="B38">
        <v>1</v>
      </c>
      <c r="C38">
        <f>ROW(SmtRes!A38)</f>
        <v>38</v>
      </c>
      <c r="D38">
        <f>ROW(EtalonRes!A39)</f>
        <v>39</v>
      </c>
      <c r="E38" t="s">
        <v>92</v>
      </c>
      <c r="F38" t="s">
        <v>93</v>
      </c>
      <c r="G38" t="s">
        <v>94</v>
      </c>
      <c r="H38" t="s">
        <v>48</v>
      </c>
      <c r="I38">
        <v>7997</v>
      </c>
      <c r="J38">
        <v>0</v>
      </c>
      <c r="O38">
        <f t="shared" si="14"/>
        <v>202383.88</v>
      </c>
      <c r="P38">
        <f t="shared" si="15"/>
        <v>0</v>
      </c>
      <c r="Q38">
        <f t="shared" si="16"/>
        <v>0</v>
      </c>
      <c r="R38">
        <f t="shared" si="17"/>
        <v>0</v>
      </c>
      <c r="S38">
        <f t="shared" si="18"/>
        <v>202383.88</v>
      </c>
      <c r="T38">
        <f t="shared" si="19"/>
        <v>0</v>
      </c>
      <c r="U38">
        <f t="shared" si="20"/>
        <v>919.65499999999997</v>
      </c>
      <c r="V38">
        <f t="shared" si="21"/>
        <v>0</v>
      </c>
      <c r="W38">
        <f t="shared" si="22"/>
        <v>0</v>
      </c>
      <c r="X38">
        <f t="shared" si="23"/>
        <v>155835.59</v>
      </c>
      <c r="Y38">
        <f t="shared" si="24"/>
        <v>97144.26</v>
      </c>
      <c r="AA38">
        <v>28315699</v>
      </c>
      <c r="AB38">
        <f t="shared" si="25"/>
        <v>0.97750000000000004</v>
      </c>
      <c r="AC38">
        <f t="shared" si="26"/>
        <v>0</v>
      </c>
      <c r="AD38">
        <f>ROUND(((((ET38*1.25))-((EU38*1.25)))+AE38),6)</f>
        <v>0</v>
      </c>
      <c r="AE38">
        <f>ROUND(((EU38*1.25)),6)</f>
        <v>0</v>
      </c>
      <c r="AF38">
        <f>ROUND(((EV38*1.15)),6)</f>
        <v>0.97750000000000004</v>
      </c>
      <c r="AG38">
        <f t="shared" si="29"/>
        <v>0</v>
      </c>
      <c r="AH38">
        <f>((EW38*1.15))</f>
        <v>0.11499999999999999</v>
      </c>
      <c r="AI38">
        <f>((EX38*1.25))</f>
        <v>0</v>
      </c>
      <c r="AJ38">
        <f t="shared" si="31"/>
        <v>0</v>
      </c>
      <c r="AK38">
        <v>0.85</v>
      </c>
      <c r="AL38">
        <v>0</v>
      </c>
      <c r="AM38">
        <v>0</v>
      </c>
      <c r="AN38">
        <v>0</v>
      </c>
      <c r="AO38">
        <v>0.85</v>
      </c>
      <c r="AP38">
        <v>0</v>
      </c>
      <c r="AQ38">
        <v>0.1</v>
      </c>
      <c r="AR38">
        <v>0</v>
      </c>
      <c r="AS38">
        <v>0</v>
      </c>
      <c r="AT38">
        <v>77</v>
      </c>
      <c r="AU38">
        <v>48</v>
      </c>
      <c r="AV38">
        <v>1</v>
      </c>
      <c r="AW38">
        <v>1</v>
      </c>
      <c r="AZ38">
        <v>1</v>
      </c>
      <c r="BA38">
        <v>25.89</v>
      </c>
      <c r="BB38">
        <v>1</v>
      </c>
      <c r="BC38">
        <v>1</v>
      </c>
      <c r="BD38" t="s">
        <v>6</v>
      </c>
      <c r="BE38" t="s">
        <v>6</v>
      </c>
      <c r="BF38" t="s">
        <v>6</v>
      </c>
      <c r="BG38" t="s">
        <v>6</v>
      </c>
      <c r="BH38">
        <v>0</v>
      </c>
      <c r="BI38">
        <v>1</v>
      </c>
      <c r="BJ38" t="s">
        <v>95</v>
      </c>
      <c r="BM38">
        <v>13001</v>
      </c>
      <c r="BN38">
        <v>0</v>
      </c>
      <c r="BO38" t="s">
        <v>93</v>
      </c>
      <c r="BP38">
        <v>1</v>
      </c>
      <c r="BQ38">
        <v>2</v>
      </c>
      <c r="BR38">
        <v>0</v>
      </c>
      <c r="BS38">
        <v>25.89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6</v>
      </c>
      <c r="BZ38">
        <v>90</v>
      </c>
      <c r="CA38">
        <v>70</v>
      </c>
      <c r="CF38">
        <v>0</v>
      </c>
      <c r="CG38">
        <v>0</v>
      </c>
      <c r="CM38">
        <v>0</v>
      </c>
      <c r="CN38" t="s">
        <v>54</v>
      </c>
      <c r="CO38">
        <v>0</v>
      </c>
      <c r="CP38">
        <f t="shared" si="32"/>
        <v>202383.88</v>
      </c>
      <c r="CQ38">
        <f t="shared" si="33"/>
        <v>0</v>
      </c>
      <c r="CR38">
        <f t="shared" si="34"/>
        <v>0</v>
      </c>
      <c r="CS38">
        <f t="shared" si="35"/>
        <v>0</v>
      </c>
      <c r="CT38">
        <f t="shared" si="36"/>
        <v>25.307475</v>
      </c>
      <c r="CU38">
        <f t="shared" si="37"/>
        <v>0</v>
      </c>
      <c r="CV38">
        <f t="shared" si="38"/>
        <v>0.11499999999999999</v>
      </c>
      <c r="CW38">
        <f t="shared" si="39"/>
        <v>0</v>
      </c>
      <c r="CX38">
        <f t="shared" si="40"/>
        <v>0</v>
      </c>
      <c r="CY38">
        <f t="shared" si="41"/>
        <v>155835.5876</v>
      </c>
      <c r="CZ38">
        <f t="shared" si="42"/>
        <v>97144.262400000007</v>
      </c>
      <c r="DC38" t="s">
        <v>6</v>
      </c>
      <c r="DD38" t="s">
        <v>6</v>
      </c>
      <c r="DE38" t="s">
        <v>55</v>
      </c>
      <c r="DF38" t="s">
        <v>55</v>
      </c>
      <c r="DG38" t="s">
        <v>56</v>
      </c>
      <c r="DH38" t="s">
        <v>6</v>
      </c>
      <c r="DI38" t="s">
        <v>56</v>
      </c>
      <c r="DJ38" t="s">
        <v>55</v>
      </c>
      <c r="DK38" t="s">
        <v>6</v>
      </c>
      <c r="DL38" t="s">
        <v>6</v>
      </c>
      <c r="DM38" t="s">
        <v>6</v>
      </c>
      <c r="DN38">
        <v>0</v>
      </c>
      <c r="DO38">
        <v>0</v>
      </c>
      <c r="DP38">
        <v>1</v>
      </c>
      <c r="DQ38">
        <v>1</v>
      </c>
      <c r="DU38">
        <v>1005</v>
      </c>
      <c r="DV38" t="s">
        <v>48</v>
      </c>
      <c r="DW38" t="s">
        <v>48</v>
      </c>
      <c r="DX38">
        <v>1</v>
      </c>
      <c r="EE38">
        <v>27463135</v>
      </c>
      <c r="EF38">
        <v>2</v>
      </c>
      <c r="EG38" t="s">
        <v>37</v>
      </c>
      <c r="EH38">
        <v>0</v>
      </c>
      <c r="EI38" t="s">
        <v>6</v>
      </c>
      <c r="EJ38">
        <v>1</v>
      </c>
      <c r="EK38">
        <v>13001</v>
      </c>
      <c r="EL38" t="s">
        <v>96</v>
      </c>
      <c r="EM38" t="s">
        <v>97</v>
      </c>
      <c r="EO38" t="s">
        <v>59</v>
      </c>
      <c r="EQ38">
        <v>0</v>
      </c>
      <c r="ER38">
        <v>0.85</v>
      </c>
      <c r="ES38">
        <v>0</v>
      </c>
      <c r="ET38">
        <v>0</v>
      </c>
      <c r="EU38">
        <v>0</v>
      </c>
      <c r="EV38">
        <v>0.85</v>
      </c>
      <c r="EW38">
        <v>0.1</v>
      </c>
      <c r="EX38">
        <v>0</v>
      </c>
      <c r="EY38">
        <v>0</v>
      </c>
      <c r="FQ38">
        <v>0</v>
      </c>
      <c r="FR38">
        <f t="shared" si="43"/>
        <v>0</v>
      </c>
      <c r="FS38">
        <v>0</v>
      </c>
      <c r="FU38" t="s">
        <v>25</v>
      </c>
      <c r="FV38" t="s">
        <v>25</v>
      </c>
      <c r="FW38" t="s">
        <v>26</v>
      </c>
      <c r="FX38">
        <v>90</v>
      </c>
      <c r="FY38">
        <v>59.5</v>
      </c>
      <c r="GA38" t="s">
        <v>6</v>
      </c>
      <c r="GD38">
        <v>0</v>
      </c>
      <c r="GF38">
        <v>-1705426703</v>
      </c>
      <c r="GG38">
        <v>2</v>
      </c>
      <c r="GH38">
        <v>1</v>
      </c>
      <c r="GI38">
        <v>2</v>
      </c>
      <c r="GJ38">
        <v>0</v>
      </c>
      <c r="GK38">
        <f>ROUND(R38*(R12)/100,2)</f>
        <v>0</v>
      </c>
      <c r="GL38">
        <f t="shared" si="44"/>
        <v>0</v>
      </c>
      <c r="GM38">
        <f t="shared" si="45"/>
        <v>455363.73</v>
      </c>
      <c r="GN38">
        <f t="shared" si="46"/>
        <v>455363.73</v>
      </c>
      <c r="GO38">
        <f t="shared" si="47"/>
        <v>0</v>
      </c>
      <c r="GP38">
        <f t="shared" si="48"/>
        <v>0</v>
      </c>
      <c r="GR38">
        <v>0</v>
      </c>
      <c r="GS38">
        <v>3</v>
      </c>
      <c r="GT38">
        <v>0</v>
      </c>
      <c r="GU38" t="s">
        <v>6</v>
      </c>
      <c r="GV38">
        <f t="shared" si="49"/>
        <v>0</v>
      </c>
      <c r="GW38">
        <v>1</v>
      </c>
      <c r="GX38">
        <f t="shared" si="50"/>
        <v>0</v>
      </c>
      <c r="HA38">
        <v>0</v>
      </c>
      <c r="HB38">
        <v>0</v>
      </c>
      <c r="IK38">
        <v>0</v>
      </c>
    </row>
    <row r="39" spans="1:245">
      <c r="A39">
        <v>17</v>
      </c>
      <c r="B39">
        <v>1</v>
      </c>
      <c r="C39">
        <f>ROW(SmtRes!A50)</f>
        <v>50</v>
      </c>
      <c r="D39">
        <f>ROW(EtalonRes!A50)</f>
        <v>50</v>
      </c>
      <c r="E39" t="s">
        <v>98</v>
      </c>
      <c r="F39" t="s">
        <v>99</v>
      </c>
      <c r="G39" t="s">
        <v>100</v>
      </c>
      <c r="H39" t="s">
        <v>73</v>
      </c>
      <c r="I39">
        <v>123</v>
      </c>
      <c r="J39">
        <v>0</v>
      </c>
      <c r="O39">
        <f t="shared" si="14"/>
        <v>3005011.34</v>
      </c>
      <c r="P39">
        <f t="shared" si="15"/>
        <v>1653446.2</v>
      </c>
      <c r="Q39">
        <f t="shared" si="16"/>
        <v>187956.62</v>
      </c>
      <c r="R39">
        <f t="shared" si="17"/>
        <v>15683.51</v>
      </c>
      <c r="S39">
        <f t="shared" si="18"/>
        <v>1163608.52</v>
      </c>
      <c r="T39">
        <f t="shared" si="19"/>
        <v>0</v>
      </c>
      <c r="U39">
        <f t="shared" si="20"/>
        <v>4530.6435000000001</v>
      </c>
      <c r="V39">
        <f t="shared" si="21"/>
        <v>52.275000000000006</v>
      </c>
      <c r="W39">
        <f t="shared" si="22"/>
        <v>0</v>
      </c>
      <c r="X39">
        <f t="shared" si="23"/>
        <v>1002398.23</v>
      </c>
      <c r="Y39">
        <f t="shared" si="24"/>
        <v>566060.17000000004</v>
      </c>
      <c r="AA39">
        <v>28315699</v>
      </c>
      <c r="AB39">
        <f t="shared" si="25"/>
        <v>5729.0735000000004</v>
      </c>
      <c r="AC39">
        <f t="shared" si="26"/>
        <v>4978.76</v>
      </c>
      <c r="AD39">
        <f>ROUND(((((ET39*1.25))-((EU39*1.25)))+AE39),6)</f>
        <v>384.91250000000002</v>
      </c>
      <c r="AE39">
        <f>ROUND(((EU39*1.25)),6)</f>
        <v>4.9249999999999998</v>
      </c>
      <c r="AF39">
        <f>ROUND(((EV39*1.15)),6)</f>
        <v>365.40100000000001</v>
      </c>
      <c r="AG39">
        <f t="shared" si="29"/>
        <v>0</v>
      </c>
      <c r="AH39">
        <f>((EW39*1.15))</f>
        <v>36.834499999999998</v>
      </c>
      <c r="AI39">
        <f>((EX39*1.25))</f>
        <v>0.42500000000000004</v>
      </c>
      <c r="AJ39">
        <f t="shared" si="31"/>
        <v>0</v>
      </c>
      <c r="AK39">
        <v>5604.43</v>
      </c>
      <c r="AL39">
        <v>4978.76</v>
      </c>
      <c r="AM39">
        <v>307.93</v>
      </c>
      <c r="AN39">
        <v>3.94</v>
      </c>
      <c r="AO39">
        <v>317.74</v>
      </c>
      <c r="AP39">
        <v>0</v>
      </c>
      <c r="AQ39">
        <v>32.03</v>
      </c>
      <c r="AR39">
        <v>0.34</v>
      </c>
      <c r="AS39">
        <v>0</v>
      </c>
      <c r="AT39">
        <v>85</v>
      </c>
      <c r="AU39">
        <v>48</v>
      </c>
      <c r="AV39">
        <v>1</v>
      </c>
      <c r="AW39">
        <v>1</v>
      </c>
      <c r="AZ39">
        <v>1</v>
      </c>
      <c r="BA39">
        <v>25.89</v>
      </c>
      <c r="BB39">
        <v>3.97</v>
      </c>
      <c r="BC39">
        <v>2.7</v>
      </c>
      <c r="BD39" t="s">
        <v>6</v>
      </c>
      <c r="BE39" t="s">
        <v>6</v>
      </c>
      <c r="BF39" t="s">
        <v>6</v>
      </c>
      <c r="BG39" t="s">
        <v>6</v>
      </c>
      <c r="BH39">
        <v>0</v>
      </c>
      <c r="BI39">
        <v>1</v>
      </c>
      <c r="BJ39" t="s">
        <v>101</v>
      </c>
      <c r="BM39">
        <v>26001</v>
      </c>
      <c r="BN39">
        <v>0</v>
      </c>
      <c r="BO39" t="s">
        <v>99</v>
      </c>
      <c r="BP39">
        <v>1</v>
      </c>
      <c r="BQ39">
        <v>2</v>
      </c>
      <c r="BR39">
        <v>0</v>
      </c>
      <c r="BS39">
        <v>25.89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100</v>
      </c>
      <c r="CA39">
        <v>70</v>
      </c>
      <c r="CF39">
        <v>0</v>
      </c>
      <c r="CG39">
        <v>0</v>
      </c>
      <c r="CM39">
        <v>0</v>
      </c>
      <c r="CN39" t="s">
        <v>54</v>
      </c>
      <c r="CO39">
        <v>0</v>
      </c>
      <c r="CP39">
        <f t="shared" si="32"/>
        <v>3005011.34</v>
      </c>
      <c r="CQ39">
        <f t="shared" si="33"/>
        <v>13442.652000000002</v>
      </c>
      <c r="CR39">
        <f t="shared" si="34"/>
        <v>1528.1026250000002</v>
      </c>
      <c r="CS39">
        <f t="shared" si="35"/>
        <v>127.50825</v>
      </c>
      <c r="CT39">
        <f t="shared" si="36"/>
        <v>9460.2318900000009</v>
      </c>
      <c r="CU39">
        <f t="shared" si="37"/>
        <v>0</v>
      </c>
      <c r="CV39">
        <f t="shared" si="38"/>
        <v>36.834499999999998</v>
      </c>
      <c r="CW39">
        <f t="shared" si="39"/>
        <v>0.42500000000000004</v>
      </c>
      <c r="CX39">
        <f t="shared" si="40"/>
        <v>0</v>
      </c>
      <c r="CY39">
        <f t="shared" si="41"/>
        <v>1002398.2254999999</v>
      </c>
      <c r="CZ39">
        <f t="shared" si="42"/>
        <v>566060.17440000002</v>
      </c>
      <c r="DC39" t="s">
        <v>6</v>
      </c>
      <c r="DD39" t="s">
        <v>6</v>
      </c>
      <c r="DE39" t="s">
        <v>55</v>
      </c>
      <c r="DF39" t="s">
        <v>55</v>
      </c>
      <c r="DG39" t="s">
        <v>56</v>
      </c>
      <c r="DH39" t="s">
        <v>6</v>
      </c>
      <c r="DI39" t="s">
        <v>56</v>
      </c>
      <c r="DJ39" t="s">
        <v>55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73</v>
      </c>
      <c r="DW39" t="s">
        <v>73</v>
      </c>
      <c r="DX39">
        <v>1</v>
      </c>
      <c r="EE39">
        <v>27463166</v>
      </c>
      <c r="EF39">
        <v>2</v>
      </c>
      <c r="EG39" t="s">
        <v>37</v>
      </c>
      <c r="EH39">
        <v>0</v>
      </c>
      <c r="EI39" t="s">
        <v>6</v>
      </c>
      <c r="EJ39">
        <v>1</v>
      </c>
      <c r="EK39">
        <v>26001</v>
      </c>
      <c r="EL39" t="s">
        <v>102</v>
      </c>
      <c r="EM39" t="s">
        <v>103</v>
      </c>
      <c r="EO39" t="s">
        <v>59</v>
      </c>
      <c r="EQ39">
        <v>0</v>
      </c>
      <c r="ER39">
        <v>5604.43</v>
      </c>
      <c r="ES39">
        <v>4978.76</v>
      </c>
      <c r="ET39">
        <v>307.93</v>
      </c>
      <c r="EU39">
        <v>3.94</v>
      </c>
      <c r="EV39">
        <v>317.74</v>
      </c>
      <c r="EW39">
        <v>32.03</v>
      </c>
      <c r="EX39">
        <v>0.34</v>
      </c>
      <c r="EY39">
        <v>0</v>
      </c>
      <c r="FQ39">
        <v>0</v>
      </c>
      <c r="FR39">
        <f t="shared" si="43"/>
        <v>0</v>
      </c>
      <c r="FS39">
        <v>0</v>
      </c>
      <c r="FU39" t="s">
        <v>25</v>
      </c>
      <c r="FV39" t="s">
        <v>25</v>
      </c>
      <c r="FW39" t="s">
        <v>26</v>
      </c>
      <c r="FX39">
        <v>100</v>
      </c>
      <c r="FY39">
        <v>59.5</v>
      </c>
      <c r="GA39" t="s">
        <v>6</v>
      </c>
      <c r="GD39">
        <v>0</v>
      </c>
      <c r="GF39">
        <v>-901498100</v>
      </c>
      <c r="GG39">
        <v>2</v>
      </c>
      <c r="GH39">
        <v>1</v>
      </c>
      <c r="GI39">
        <v>2</v>
      </c>
      <c r="GJ39">
        <v>0</v>
      </c>
      <c r="GK39">
        <f>ROUND(R39*(R12)/100,2)</f>
        <v>0</v>
      </c>
      <c r="GL39">
        <f t="shared" si="44"/>
        <v>0</v>
      </c>
      <c r="GM39">
        <f t="shared" si="45"/>
        <v>4573469.74</v>
      </c>
      <c r="GN39">
        <f t="shared" si="46"/>
        <v>4573469.74</v>
      </c>
      <c r="GO39">
        <f t="shared" si="47"/>
        <v>0</v>
      </c>
      <c r="GP39">
        <f t="shared" si="48"/>
        <v>0</v>
      </c>
      <c r="GR39">
        <v>0</v>
      </c>
      <c r="GS39">
        <v>3</v>
      </c>
      <c r="GT39">
        <v>0</v>
      </c>
      <c r="GU39" t="s">
        <v>6</v>
      </c>
      <c r="GV39">
        <f t="shared" si="49"/>
        <v>0</v>
      </c>
      <c r="GW39">
        <v>1</v>
      </c>
      <c r="GX39">
        <f t="shared" si="50"/>
        <v>0</v>
      </c>
      <c r="HA39">
        <v>0</v>
      </c>
      <c r="HB39">
        <v>0</v>
      </c>
      <c r="IK39">
        <v>0</v>
      </c>
    </row>
    <row r="40" spans="1:245">
      <c r="A40">
        <v>18</v>
      </c>
      <c r="B40">
        <v>1</v>
      </c>
      <c r="C40">
        <v>46</v>
      </c>
      <c r="E40" t="s">
        <v>104</v>
      </c>
      <c r="F40" t="s">
        <v>105</v>
      </c>
      <c r="G40" t="s">
        <v>106</v>
      </c>
      <c r="H40" t="s">
        <v>107</v>
      </c>
      <c r="I40">
        <f>I39*J40</f>
        <v>-5269.32</v>
      </c>
      <c r="J40">
        <v>-42.839999999999996</v>
      </c>
      <c r="O40">
        <f t="shared" si="14"/>
        <v>-795983.48</v>
      </c>
      <c r="P40">
        <f t="shared" si="15"/>
        <v>-795983.48</v>
      </c>
      <c r="Q40">
        <f t="shared" si="16"/>
        <v>0</v>
      </c>
      <c r="R40">
        <f t="shared" si="17"/>
        <v>0</v>
      </c>
      <c r="S40">
        <f t="shared" si="18"/>
        <v>0</v>
      </c>
      <c r="T40">
        <f t="shared" si="19"/>
        <v>0</v>
      </c>
      <c r="U40">
        <f t="shared" si="20"/>
        <v>0</v>
      </c>
      <c r="V40">
        <f t="shared" si="21"/>
        <v>0</v>
      </c>
      <c r="W40">
        <f t="shared" si="22"/>
        <v>0</v>
      </c>
      <c r="X40">
        <f t="shared" si="23"/>
        <v>0</v>
      </c>
      <c r="Y40">
        <f t="shared" si="24"/>
        <v>0</v>
      </c>
      <c r="AA40">
        <v>28315699</v>
      </c>
      <c r="AB40">
        <f t="shared" si="25"/>
        <v>58.1</v>
      </c>
      <c r="AC40">
        <f t="shared" si="26"/>
        <v>58.1</v>
      </c>
      <c r="AD40">
        <f>ROUND((((ET40)-(EU40))+AE40),6)</f>
        <v>0</v>
      </c>
      <c r="AE40">
        <f t="shared" ref="AE40:AF42" si="53">ROUND((EU40),6)</f>
        <v>0</v>
      </c>
      <c r="AF40">
        <f t="shared" si="53"/>
        <v>0</v>
      </c>
      <c r="AG40">
        <f t="shared" si="29"/>
        <v>0</v>
      </c>
      <c r="AH40">
        <f t="shared" ref="AH40:AI42" si="54">(EW40)</f>
        <v>0</v>
      </c>
      <c r="AI40">
        <f t="shared" si="54"/>
        <v>0</v>
      </c>
      <c r="AJ40">
        <f t="shared" si="31"/>
        <v>0</v>
      </c>
      <c r="AK40">
        <v>58.1</v>
      </c>
      <c r="AL40">
        <v>58.1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85</v>
      </c>
      <c r="AU40">
        <v>48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2.6</v>
      </c>
      <c r="BD40" t="s">
        <v>6</v>
      </c>
      <c r="BE40" t="s">
        <v>6</v>
      </c>
      <c r="BF40" t="s">
        <v>6</v>
      </c>
      <c r="BG40" t="s">
        <v>6</v>
      </c>
      <c r="BH40">
        <v>3</v>
      </c>
      <c r="BI40">
        <v>1</v>
      </c>
      <c r="BJ40" t="s">
        <v>108</v>
      </c>
      <c r="BM40">
        <v>26001</v>
      </c>
      <c r="BN40">
        <v>0</v>
      </c>
      <c r="BO40" t="s">
        <v>105</v>
      </c>
      <c r="BP40">
        <v>1</v>
      </c>
      <c r="BQ40">
        <v>2</v>
      </c>
      <c r="BR40">
        <v>1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6</v>
      </c>
      <c r="BZ40">
        <v>100</v>
      </c>
      <c r="CA40">
        <v>70</v>
      </c>
      <c r="CF40">
        <v>0</v>
      </c>
      <c r="CG40">
        <v>0</v>
      </c>
      <c r="CM40">
        <v>0</v>
      </c>
      <c r="CN40" t="s">
        <v>6</v>
      </c>
      <c r="CO40">
        <v>0</v>
      </c>
      <c r="CP40">
        <f t="shared" si="32"/>
        <v>-795983.48</v>
      </c>
      <c r="CQ40">
        <f t="shared" si="33"/>
        <v>151.06</v>
      </c>
      <c r="CR40">
        <f t="shared" si="34"/>
        <v>0</v>
      </c>
      <c r="CS40">
        <f t="shared" si="35"/>
        <v>0</v>
      </c>
      <c r="CT40">
        <f t="shared" si="36"/>
        <v>0</v>
      </c>
      <c r="CU40">
        <f t="shared" si="37"/>
        <v>0</v>
      </c>
      <c r="CV40">
        <f t="shared" si="38"/>
        <v>0</v>
      </c>
      <c r="CW40">
        <f t="shared" si="39"/>
        <v>0</v>
      </c>
      <c r="CX40">
        <f t="shared" si="40"/>
        <v>0</v>
      </c>
      <c r="CY40">
        <f t="shared" si="41"/>
        <v>0</v>
      </c>
      <c r="CZ40">
        <f t="shared" si="42"/>
        <v>0</v>
      </c>
      <c r="DC40" t="s">
        <v>6</v>
      </c>
      <c r="DD40" t="s">
        <v>6</v>
      </c>
      <c r="DE40" t="s">
        <v>6</v>
      </c>
      <c r="DF40" t="s">
        <v>6</v>
      </c>
      <c r="DG40" t="s">
        <v>6</v>
      </c>
      <c r="DH40" t="s">
        <v>6</v>
      </c>
      <c r="DI40" t="s">
        <v>6</v>
      </c>
      <c r="DJ40" t="s">
        <v>6</v>
      </c>
      <c r="DK40" t="s">
        <v>6</v>
      </c>
      <c r="DL40" t="s">
        <v>6</v>
      </c>
      <c r="DM40" t="s">
        <v>6</v>
      </c>
      <c r="DN40">
        <v>0</v>
      </c>
      <c r="DO40">
        <v>0</v>
      </c>
      <c r="DP40">
        <v>1</v>
      </c>
      <c r="DQ40">
        <v>1</v>
      </c>
      <c r="DU40">
        <v>1009</v>
      </c>
      <c r="DV40" t="s">
        <v>107</v>
      </c>
      <c r="DW40" t="s">
        <v>107</v>
      </c>
      <c r="DX40">
        <v>1</v>
      </c>
      <c r="EE40">
        <v>27463166</v>
      </c>
      <c r="EF40">
        <v>2</v>
      </c>
      <c r="EG40" t="s">
        <v>37</v>
      </c>
      <c r="EH40">
        <v>0</v>
      </c>
      <c r="EI40" t="s">
        <v>6</v>
      </c>
      <c r="EJ40">
        <v>1</v>
      </c>
      <c r="EK40">
        <v>26001</v>
      </c>
      <c r="EL40" t="s">
        <v>102</v>
      </c>
      <c r="EM40" t="s">
        <v>103</v>
      </c>
      <c r="EO40" t="s">
        <v>6</v>
      </c>
      <c r="EQ40">
        <v>32768</v>
      </c>
      <c r="ER40">
        <v>58.1</v>
      </c>
      <c r="ES40">
        <v>58.1</v>
      </c>
      <c r="ET40">
        <v>0</v>
      </c>
      <c r="EU40">
        <v>0</v>
      </c>
      <c r="EV40">
        <v>0</v>
      </c>
      <c r="EW40">
        <v>0</v>
      </c>
      <c r="EX40">
        <v>0</v>
      </c>
      <c r="FQ40">
        <v>0</v>
      </c>
      <c r="FR40">
        <f t="shared" si="43"/>
        <v>0</v>
      </c>
      <c r="FS40">
        <v>0</v>
      </c>
      <c r="FU40" t="s">
        <v>25</v>
      </c>
      <c r="FV40" t="s">
        <v>25</v>
      </c>
      <c r="FW40" t="s">
        <v>26</v>
      </c>
      <c r="FX40">
        <v>100</v>
      </c>
      <c r="FY40">
        <v>59.5</v>
      </c>
      <c r="GA40" t="s">
        <v>31</v>
      </c>
      <c r="GD40">
        <v>0</v>
      </c>
      <c r="GF40">
        <v>-1751083780</v>
      </c>
      <c r="GG40">
        <v>2</v>
      </c>
      <c r="GH40">
        <v>1</v>
      </c>
      <c r="GI40">
        <v>2</v>
      </c>
      <c r="GJ40">
        <v>0</v>
      </c>
      <c r="GK40">
        <f>ROUND(R40*(R12)/100,2)</f>
        <v>0</v>
      </c>
      <c r="GL40">
        <f t="shared" si="44"/>
        <v>0</v>
      </c>
      <c r="GM40">
        <f t="shared" si="45"/>
        <v>-795983.48</v>
      </c>
      <c r="GN40">
        <f t="shared" si="46"/>
        <v>-795983.48</v>
      </c>
      <c r="GO40">
        <f t="shared" si="47"/>
        <v>0</v>
      </c>
      <c r="GP40">
        <f t="shared" si="48"/>
        <v>0</v>
      </c>
      <c r="GR40">
        <v>0</v>
      </c>
      <c r="GS40">
        <v>4</v>
      </c>
      <c r="GT40">
        <v>0</v>
      </c>
      <c r="GU40" t="s">
        <v>6</v>
      </c>
      <c r="GV40">
        <f t="shared" si="49"/>
        <v>0</v>
      </c>
      <c r="GW40">
        <v>1</v>
      </c>
      <c r="GX40">
        <f t="shared" si="50"/>
        <v>0</v>
      </c>
      <c r="HA40">
        <v>0</v>
      </c>
      <c r="HB40">
        <v>0</v>
      </c>
      <c r="IK40">
        <v>0</v>
      </c>
    </row>
    <row r="41" spans="1:245">
      <c r="A41">
        <v>18</v>
      </c>
      <c r="B41">
        <v>1</v>
      </c>
      <c r="C41">
        <v>47</v>
      </c>
      <c r="E41" t="s">
        <v>109</v>
      </c>
      <c r="F41" t="s">
        <v>110</v>
      </c>
      <c r="G41" t="s">
        <v>111</v>
      </c>
      <c r="H41" t="s">
        <v>107</v>
      </c>
      <c r="I41">
        <f>I39*J41</f>
        <v>-5062.68</v>
      </c>
      <c r="J41">
        <v>-41.160000000000004</v>
      </c>
      <c r="O41">
        <f t="shared" si="14"/>
        <v>-671351.87</v>
      </c>
      <c r="P41">
        <f t="shared" si="15"/>
        <v>-671351.87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28315699</v>
      </c>
      <c r="AB41">
        <f t="shared" si="25"/>
        <v>51.8</v>
      </c>
      <c r="AC41">
        <f t="shared" si="26"/>
        <v>51.8</v>
      </c>
      <c r="AD41">
        <f>ROUND((((ET41)-(EU41))+AE41),6)</f>
        <v>0</v>
      </c>
      <c r="AE41">
        <f t="shared" si="53"/>
        <v>0</v>
      </c>
      <c r="AF41">
        <f t="shared" si="53"/>
        <v>0</v>
      </c>
      <c r="AG41">
        <f t="shared" si="29"/>
        <v>0</v>
      </c>
      <c r="AH41">
        <f t="shared" si="54"/>
        <v>0</v>
      </c>
      <c r="AI41">
        <f t="shared" si="54"/>
        <v>0</v>
      </c>
      <c r="AJ41">
        <f t="shared" si="31"/>
        <v>0</v>
      </c>
      <c r="AK41">
        <v>51.8</v>
      </c>
      <c r="AL41">
        <v>51.8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85</v>
      </c>
      <c r="AU41">
        <v>48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2.56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112</v>
      </c>
      <c r="BM41">
        <v>26001</v>
      </c>
      <c r="BN41">
        <v>0</v>
      </c>
      <c r="BO41" t="s">
        <v>110</v>
      </c>
      <c r="BP41">
        <v>1</v>
      </c>
      <c r="BQ41">
        <v>2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100</v>
      </c>
      <c r="CA41">
        <v>70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2"/>
        <v>-671351.87</v>
      </c>
      <c r="CQ41">
        <f t="shared" si="33"/>
        <v>132.608</v>
      </c>
      <c r="CR41">
        <f t="shared" si="34"/>
        <v>0</v>
      </c>
      <c r="CS41">
        <f t="shared" si="35"/>
        <v>0</v>
      </c>
      <c r="CT41">
        <f t="shared" si="36"/>
        <v>0</v>
      </c>
      <c r="CU41">
        <f t="shared" si="37"/>
        <v>0</v>
      </c>
      <c r="CV41">
        <f t="shared" si="38"/>
        <v>0</v>
      </c>
      <c r="CW41">
        <f t="shared" si="39"/>
        <v>0</v>
      </c>
      <c r="CX41">
        <f t="shared" si="40"/>
        <v>0</v>
      </c>
      <c r="CY41">
        <f t="shared" si="41"/>
        <v>0</v>
      </c>
      <c r="CZ41">
        <f t="shared" si="42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107</v>
      </c>
      <c r="DW41" t="s">
        <v>107</v>
      </c>
      <c r="DX41">
        <v>1</v>
      </c>
      <c r="EE41">
        <v>27463166</v>
      </c>
      <c r="EF41">
        <v>2</v>
      </c>
      <c r="EG41" t="s">
        <v>37</v>
      </c>
      <c r="EH41">
        <v>0</v>
      </c>
      <c r="EI41" t="s">
        <v>6</v>
      </c>
      <c r="EJ41">
        <v>1</v>
      </c>
      <c r="EK41">
        <v>26001</v>
      </c>
      <c r="EL41" t="s">
        <v>102</v>
      </c>
      <c r="EM41" t="s">
        <v>103</v>
      </c>
      <c r="EO41" t="s">
        <v>6</v>
      </c>
      <c r="EQ41">
        <v>32768</v>
      </c>
      <c r="ER41">
        <v>51.8</v>
      </c>
      <c r="ES41">
        <v>51.8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43"/>
        <v>0</v>
      </c>
      <c r="FS41">
        <v>0</v>
      </c>
      <c r="FU41" t="s">
        <v>25</v>
      </c>
      <c r="FV41" t="s">
        <v>25</v>
      </c>
      <c r="FW41" t="s">
        <v>26</v>
      </c>
      <c r="FX41">
        <v>100</v>
      </c>
      <c r="FY41">
        <v>59.5</v>
      </c>
      <c r="GA41" t="s">
        <v>31</v>
      </c>
      <c r="GD41">
        <v>0</v>
      </c>
      <c r="GF41">
        <v>-286688287</v>
      </c>
      <c r="GG41">
        <v>2</v>
      </c>
      <c r="GH41">
        <v>1</v>
      </c>
      <c r="GI41">
        <v>2</v>
      </c>
      <c r="GJ41">
        <v>0</v>
      </c>
      <c r="GK41">
        <f>ROUND(R41*(R12)/100,2)</f>
        <v>0</v>
      </c>
      <c r="GL41">
        <f t="shared" si="44"/>
        <v>0</v>
      </c>
      <c r="GM41">
        <f t="shared" si="45"/>
        <v>-671351.87</v>
      </c>
      <c r="GN41">
        <f t="shared" si="46"/>
        <v>-671351.87</v>
      </c>
      <c r="GO41">
        <f t="shared" si="47"/>
        <v>0</v>
      </c>
      <c r="GP41">
        <f t="shared" si="48"/>
        <v>0</v>
      </c>
      <c r="GR41">
        <v>0</v>
      </c>
      <c r="GS41">
        <v>4</v>
      </c>
      <c r="GT41">
        <v>0</v>
      </c>
      <c r="GU41" t="s">
        <v>6</v>
      </c>
      <c r="GV41">
        <f t="shared" si="49"/>
        <v>0</v>
      </c>
      <c r="GW41">
        <v>1</v>
      </c>
      <c r="GX41">
        <f t="shared" si="50"/>
        <v>0</v>
      </c>
      <c r="HA41">
        <v>0</v>
      </c>
      <c r="HB41">
        <v>0</v>
      </c>
      <c r="IK41">
        <v>0</v>
      </c>
    </row>
    <row r="42" spans="1:245">
      <c r="A42">
        <v>18</v>
      </c>
      <c r="B42">
        <v>1</v>
      </c>
      <c r="C42">
        <v>50</v>
      </c>
      <c r="E42" t="s">
        <v>113</v>
      </c>
      <c r="F42" t="s">
        <v>114</v>
      </c>
      <c r="G42" t="s">
        <v>115</v>
      </c>
      <c r="H42" t="s">
        <v>107</v>
      </c>
      <c r="I42">
        <f>I39*J42</f>
        <v>6560</v>
      </c>
      <c r="J42">
        <v>53.333333333333336</v>
      </c>
      <c r="O42">
        <f t="shared" si="14"/>
        <v>1672800</v>
      </c>
      <c r="P42">
        <f t="shared" si="15"/>
        <v>1672800</v>
      </c>
      <c r="Q42">
        <f t="shared" si="16"/>
        <v>0</v>
      </c>
      <c r="R42">
        <f t="shared" si="17"/>
        <v>0</v>
      </c>
      <c r="S42">
        <f t="shared" si="18"/>
        <v>0</v>
      </c>
      <c r="T42">
        <f t="shared" si="19"/>
        <v>0</v>
      </c>
      <c r="U42">
        <f t="shared" si="20"/>
        <v>0</v>
      </c>
      <c r="V42">
        <f t="shared" si="21"/>
        <v>0</v>
      </c>
      <c r="W42">
        <f t="shared" si="22"/>
        <v>0</v>
      </c>
      <c r="X42">
        <f t="shared" si="23"/>
        <v>0</v>
      </c>
      <c r="Y42">
        <f t="shared" si="24"/>
        <v>0</v>
      </c>
      <c r="AA42">
        <v>28315699</v>
      </c>
      <c r="AB42">
        <f t="shared" si="25"/>
        <v>255</v>
      </c>
      <c r="AC42">
        <f t="shared" si="26"/>
        <v>255</v>
      </c>
      <c r="AD42">
        <f>ROUND((((ET42)-(EU42))+AE42),6)</f>
        <v>0</v>
      </c>
      <c r="AE42">
        <f t="shared" si="53"/>
        <v>0</v>
      </c>
      <c r="AF42">
        <f t="shared" si="53"/>
        <v>0</v>
      </c>
      <c r="AG42">
        <f t="shared" si="29"/>
        <v>0</v>
      </c>
      <c r="AH42">
        <f t="shared" si="54"/>
        <v>0</v>
      </c>
      <c r="AI42">
        <f t="shared" si="54"/>
        <v>0</v>
      </c>
      <c r="AJ42">
        <f t="shared" si="31"/>
        <v>0</v>
      </c>
      <c r="AK42">
        <v>255</v>
      </c>
      <c r="AL42">
        <v>255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85</v>
      </c>
      <c r="AU42">
        <v>48</v>
      </c>
      <c r="AV42">
        <v>1</v>
      </c>
      <c r="AW42">
        <v>1</v>
      </c>
      <c r="AZ42">
        <v>1</v>
      </c>
      <c r="BA42">
        <v>1</v>
      </c>
      <c r="BB42">
        <v>1</v>
      </c>
      <c r="BC42">
        <v>1</v>
      </c>
      <c r="BD42" t="s">
        <v>6</v>
      </c>
      <c r="BE42" t="s">
        <v>6</v>
      </c>
      <c r="BF42" t="s">
        <v>6</v>
      </c>
      <c r="BG42" t="s">
        <v>6</v>
      </c>
      <c r="BH42">
        <v>3</v>
      </c>
      <c r="BI42">
        <v>1</v>
      </c>
      <c r="BJ42" t="s">
        <v>6</v>
      </c>
      <c r="BM42">
        <v>26001</v>
      </c>
      <c r="BN42">
        <v>0</v>
      </c>
      <c r="BO42" t="s">
        <v>6</v>
      </c>
      <c r="BP42">
        <v>0</v>
      </c>
      <c r="BQ42">
        <v>2</v>
      </c>
      <c r="BR42">
        <v>0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 t="s">
        <v>6</v>
      </c>
      <c r="BZ42">
        <v>100</v>
      </c>
      <c r="CA42">
        <v>70</v>
      </c>
      <c r="CF42">
        <v>0</v>
      </c>
      <c r="CG42">
        <v>0</v>
      </c>
      <c r="CM42">
        <v>0</v>
      </c>
      <c r="CN42" t="s">
        <v>6</v>
      </c>
      <c r="CO42">
        <v>0</v>
      </c>
      <c r="CP42">
        <f t="shared" si="32"/>
        <v>1672800</v>
      </c>
      <c r="CQ42">
        <f t="shared" si="33"/>
        <v>255</v>
      </c>
      <c r="CR42">
        <f t="shared" si="34"/>
        <v>0</v>
      </c>
      <c r="CS42">
        <f t="shared" si="35"/>
        <v>0</v>
      </c>
      <c r="CT42">
        <f t="shared" si="36"/>
        <v>0</v>
      </c>
      <c r="CU42">
        <f t="shared" si="37"/>
        <v>0</v>
      </c>
      <c r="CV42">
        <f t="shared" si="38"/>
        <v>0</v>
      </c>
      <c r="CW42">
        <f t="shared" si="39"/>
        <v>0</v>
      </c>
      <c r="CX42">
        <f t="shared" si="40"/>
        <v>0</v>
      </c>
      <c r="CY42">
        <f t="shared" si="41"/>
        <v>0</v>
      </c>
      <c r="CZ42">
        <f t="shared" si="42"/>
        <v>0</v>
      </c>
      <c r="DC42" t="s">
        <v>6</v>
      </c>
      <c r="DD42" t="s">
        <v>6</v>
      </c>
      <c r="DE42" t="s">
        <v>6</v>
      </c>
      <c r="DF42" t="s">
        <v>6</v>
      </c>
      <c r="DG42" t="s">
        <v>6</v>
      </c>
      <c r="DH42" t="s">
        <v>6</v>
      </c>
      <c r="DI42" t="s">
        <v>6</v>
      </c>
      <c r="DJ42" t="s">
        <v>6</v>
      </c>
      <c r="DK42" t="s">
        <v>6</v>
      </c>
      <c r="DL42" t="s">
        <v>6</v>
      </c>
      <c r="DM42" t="s">
        <v>6</v>
      </c>
      <c r="DN42">
        <v>0</v>
      </c>
      <c r="DO42">
        <v>0</v>
      </c>
      <c r="DP42">
        <v>1</v>
      </c>
      <c r="DQ42">
        <v>1</v>
      </c>
      <c r="DU42">
        <v>1009</v>
      </c>
      <c r="DV42" t="s">
        <v>107</v>
      </c>
      <c r="DW42" t="s">
        <v>107</v>
      </c>
      <c r="DX42">
        <v>1</v>
      </c>
      <c r="EE42">
        <v>27463166</v>
      </c>
      <c r="EF42">
        <v>2</v>
      </c>
      <c r="EG42" t="s">
        <v>37</v>
      </c>
      <c r="EH42">
        <v>0</v>
      </c>
      <c r="EI42" t="s">
        <v>6</v>
      </c>
      <c r="EJ42">
        <v>1</v>
      </c>
      <c r="EK42">
        <v>26001</v>
      </c>
      <c r="EL42" t="s">
        <v>102</v>
      </c>
      <c r="EM42" t="s">
        <v>103</v>
      </c>
      <c r="EO42" t="s">
        <v>6</v>
      </c>
      <c r="EQ42">
        <v>0</v>
      </c>
      <c r="ER42">
        <v>255</v>
      </c>
      <c r="ES42">
        <v>255</v>
      </c>
      <c r="ET42">
        <v>0</v>
      </c>
      <c r="EU42">
        <v>0</v>
      </c>
      <c r="EV42">
        <v>0</v>
      </c>
      <c r="EW42">
        <v>0</v>
      </c>
      <c r="EX42">
        <v>0</v>
      </c>
      <c r="EZ42">
        <v>5</v>
      </c>
      <c r="FC42">
        <v>1</v>
      </c>
      <c r="FD42">
        <v>18</v>
      </c>
      <c r="FF42">
        <v>295</v>
      </c>
      <c r="FQ42">
        <v>0</v>
      </c>
      <c r="FR42">
        <f t="shared" si="43"/>
        <v>0</v>
      </c>
      <c r="FS42">
        <v>0</v>
      </c>
      <c r="FU42" t="s">
        <v>25</v>
      </c>
      <c r="FV42" t="s">
        <v>25</v>
      </c>
      <c r="FW42" t="s">
        <v>26</v>
      </c>
      <c r="FX42">
        <v>100</v>
      </c>
      <c r="FY42">
        <v>59.5</v>
      </c>
      <c r="GA42" t="s">
        <v>116</v>
      </c>
      <c r="GD42">
        <v>0</v>
      </c>
      <c r="GF42">
        <v>1169740750</v>
      </c>
      <c r="GG42">
        <v>2</v>
      </c>
      <c r="GH42">
        <v>3</v>
      </c>
      <c r="GI42">
        <v>-2</v>
      </c>
      <c r="GJ42">
        <v>0</v>
      </c>
      <c r="GK42">
        <f>ROUND(R42*(R12)/100,2)</f>
        <v>0</v>
      </c>
      <c r="GL42">
        <f t="shared" si="44"/>
        <v>0</v>
      </c>
      <c r="GM42">
        <f t="shared" si="45"/>
        <v>1672800</v>
      </c>
      <c r="GN42">
        <f t="shared" si="46"/>
        <v>1672800</v>
      </c>
      <c r="GO42">
        <f t="shared" si="47"/>
        <v>0</v>
      </c>
      <c r="GP42">
        <f t="shared" si="48"/>
        <v>0</v>
      </c>
      <c r="GR42">
        <v>1</v>
      </c>
      <c r="GS42">
        <v>1</v>
      </c>
      <c r="GT42">
        <v>0</v>
      </c>
      <c r="GU42" t="s">
        <v>6</v>
      </c>
      <c r="GV42">
        <f t="shared" si="49"/>
        <v>0</v>
      </c>
      <c r="GW42">
        <v>1</v>
      </c>
      <c r="GX42">
        <f t="shared" si="50"/>
        <v>0</v>
      </c>
      <c r="HA42">
        <v>0</v>
      </c>
      <c r="HB42">
        <v>0</v>
      </c>
      <c r="IK42">
        <v>0</v>
      </c>
    </row>
    <row r="43" spans="1:245">
      <c r="A43">
        <v>17</v>
      </c>
      <c r="B43">
        <v>1</v>
      </c>
      <c r="C43">
        <f>ROW(SmtRes!A62)</f>
        <v>62</v>
      </c>
      <c r="D43">
        <f>ROW(EtalonRes!A61)</f>
        <v>61</v>
      </c>
      <c r="E43" t="s">
        <v>117</v>
      </c>
      <c r="F43" t="s">
        <v>99</v>
      </c>
      <c r="G43" t="s">
        <v>118</v>
      </c>
      <c r="H43" t="s">
        <v>73</v>
      </c>
      <c r="I43">
        <v>15.994</v>
      </c>
      <c r="J43">
        <v>0</v>
      </c>
      <c r="O43">
        <f t="shared" si="14"/>
        <v>390749.2</v>
      </c>
      <c r="P43">
        <f t="shared" si="15"/>
        <v>215001.78</v>
      </c>
      <c r="Q43">
        <f t="shared" si="16"/>
        <v>24440.47</v>
      </c>
      <c r="R43">
        <f t="shared" si="17"/>
        <v>2039.37</v>
      </c>
      <c r="S43">
        <f t="shared" si="18"/>
        <v>151306.95000000001</v>
      </c>
      <c r="T43">
        <f t="shared" si="19"/>
        <v>0</v>
      </c>
      <c r="U43">
        <f t="shared" si="20"/>
        <v>589.13099299999999</v>
      </c>
      <c r="V43">
        <f t="shared" si="21"/>
        <v>6.7974500000000004</v>
      </c>
      <c r="W43">
        <f t="shared" si="22"/>
        <v>0</v>
      </c>
      <c r="X43">
        <f t="shared" si="23"/>
        <v>130344.37</v>
      </c>
      <c r="Y43">
        <f t="shared" si="24"/>
        <v>73606.23</v>
      </c>
      <c r="AA43">
        <v>28315699</v>
      </c>
      <c r="AB43">
        <f t="shared" si="25"/>
        <v>5729.0735000000004</v>
      </c>
      <c r="AC43">
        <f t="shared" si="26"/>
        <v>4978.76</v>
      </c>
      <c r="AD43">
        <f>ROUND(((((ET43*1.25))-((EU43*1.25)))+AE43),6)</f>
        <v>384.91250000000002</v>
      </c>
      <c r="AE43">
        <f>ROUND(((EU43*1.25)),6)</f>
        <v>4.9249999999999998</v>
      </c>
      <c r="AF43">
        <f>ROUND(((EV43*1.15)),6)</f>
        <v>365.40100000000001</v>
      </c>
      <c r="AG43">
        <f t="shared" si="29"/>
        <v>0</v>
      </c>
      <c r="AH43">
        <f>((EW43*1.15))</f>
        <v>36.834499999999998</v>
      </c>
      <c r="AI43">
        <f>((EX43*1.25))</f>
        <v>0.42500000000000004</v>
      </c>
      <c r="AJ43">
        <f t="shared" si="31"/>
        <v>0</v>
      </c>
      <c r="AK43">
        <v>5604.43</v>
      </c>
      <c r="AL43">
        <v>4978.76</v>
      </c>
      <c r="AM43">
        <v>307.93</v>
      </c>
      <c r="AN43">
        <v>3.94</v>
      </c>
      <c r="AO43">
        <v>317.74</v>
      </c>
      <c r="AP43">
        <v>0</v>
      </c>
      <c r="AQ43">
        <v>32.03</v>
      </c>
      <c r="AR43">
        <v>0.34</v>
      </c>
      <c r="AS43">
        <v>0</v>
      </c>
      <c r="AT43">
        <v>85</v>
      </c>
      <c r="AU43">
        <v>48</v>
      </c>
      <c r="AV43">
        <v>1</v>
      </c>
      <c r="AW43">
        <v>1</v>
      </c>
      <c r="AZ43">
        <v>1</v>
      </c>
      <c r="BA43">
        <v>25.89</v>
      </c>
      <c r="BB43">
        <v>3.97</v>
      </c>
      <c r="BC43">
        <v>2.7</v>
      </c>
      <c r="BD43" t="s">
        <v>6</v>
      </c>
      <c r="BE43" t="s">
        <v>6</v>
      </c>
      <c r="BF43" t="s">
        <v>6</v>
      </c>
      <c r="BG43" t="s">
        <v>6</v>
      </c>
      <c r="BH43">
        <v>0</v>
      </c>
      <c r="BI43">
        <v>1</v>
      </c>
      <c r="BJ43" t="s">
        <v>101</v>
      </c>
      <c r="BM43">
        <v>26001</v>
      </c>
      <c r="BN43">
        <v>0</v>
      </c>
      <c r="BO43" t="s">
        <v>99</v>
      </c>
      <c r="BP43">
        <v>1</v>
      </c>
      <c r="BQ43">
        <v>2</v>
      </c>
      <c r="BR43">
        <v>0</v>
      </c>
      <c r="BS43">
        <v>25.89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100</v>
      </c>
      <c r="CA43">
        <v>70</v>
      </c>
      <c r="CF43">
        <v>0</v>
      </c>
      <c r="CG43">
        <v>0</v>
      </c>
      <c r="CM43">
        <v>0</v>
      </c>
      <c r="CN43" t="s">
        <v>54</v>
      </c>
      <c r="CO43">
        <v>0</v>
      </c>
      <c r="CP43">
        <f t="shared" si="32"/>
        <v>390749.2</v>
      </c>
      <c r="CQ43">
        <f t="shared" si="33"/>
        <v>13442.652000000002</v>
      </c>
      <c r="CR43">
        <f t="shared" si="34"/>
        <v>1528.1026250000002</v>
      </c>
      <c r="CS43">
        <f t="shared" si="35"/>
        <v>127.50825</v>
      </c>
      <c r="CT43">
        <f t="shared" si="36"/>
        <v>9460.2318900000009</v>
      </c>
      <c r="CU43">
        <f t="shared" si="37"/>
        <v>0</v>
      </c>
      <c r="CV43">
        <f t="shared" si="38"/>
        <v>36.834499999999998</v>
      </c>
      <c r="CW43">
        <f t="shared" si="39"/>
        <v>0.42500000000000004</v>
      </c>
      <c r="CX43">
        <f t="shared" si="40"/>
        <v>0</v>
      </c>
      <c r="CY43">
        <f t="shared" si="41"/>
        <v>130344.37200000002</v>
      </c>
      <c r="CZ43">
        <f t="shared" si="42"/>
        <v>73606.233600000007</v>
      </c>
      <c r="DC43" t="s">
        <v>6</v>
      </c>
      <c r="DD43" t="s">
        <v>6</v>
      </c>
      <c r="DE43" t="s">
        <v>55</v>
      </c>
      <c r="DF43" t="s">
        <v>55</v>
      </c>
      <c r="DG43" t="s">
        <v>56</v>
      </c>
      <c r="DH43" t="s">
        <v>6</v>
      </c>
      <c r="DI43" t="s">
        <v>56</v>
      </c>
      <c r="DJ43" t="s">
        <v>55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73</v>
      </c>
      <c r="DW43" t="s">
        <v>73</v>
      </c>
      <c r="DX43">
        <v>1</v>
      </c>
      <c r="EE43">
        <v>27463166</v>
      </c>
      <c r="EF43">
        <v>2</v>
      </c>
      <c r="EG43" t="s">
        <v>37</v>
      </c>
      <c r="EH43">
        <v>0</v>
      </c>
      <c r="EI43" t="s">
        <v>6</v>
      </c>
      <c r="EJ43">
        <v>1</v>
      </c>
      <c r="EK43">
        <v>26001</v>
      </c>
      <c r="EL43" t="s">
        <v>102</v>
      </c>
      <c r="EM43" t="s">
        <v>103</v>
      </c>
      <c r="EO43" t="s">
        <v>59</v>
      </c>
      <c r="EQ43">
        <v>0</v>
      </c>
      <c r="ER43">
        <v>5604.43</v>
      </c>
      <c r="ES43">
        <v>4978.76</v>
      </c>
      <c r="ET43">
        <v>307.93</v>
      </c>
      <c r="EU43">
        <v>3.94</v>
      </c>
      <c r="EV43">
        <v>317.74</v>
      </c>
      <c r="EW43">
        <v>32.03</v>
      </c>
      <c r="EX43">
        <v>0.34</v>
      </c>
      <c r="EY43">
        <v>0</v>
      </c>
      <c r="FQ43">
        <v>0</v>
      </c>
      <c r="FR43">
        <f t="shared" si="43"/>
        <v>0</v>
      </c>
      <c r="FS43">
        <v>0</v>
      </c>
      <c r="FU43" t="s">
        <v>25</v>
      </c>
      <c r="FV43" t="s">
        <v>25</v>
      </c>
      <c r="FW43" t="s">
        <v>26</v>
      </c>
      <c r="FX43">
        <v>100</v>
      </c>
      <c r="FY43">
        <v>59.5</v>
      </c>
      <c r="GA43" t="s">
        <v>6</v>
      </c>
      <c r="GD43">
        <v>0</v>
      </c>
      <c r="GF43">
        <v>615615426</v>
      </c>
      <c r="GG43">
        <v>2</v>
      </c>
      <c r="GH43">
        <v>1</v>
      </c>
      <c r="GI43">
        <v>2</v>
      </c>
      <c r="GJ43">
        <v>0</v>
      </c>
      <c r="GK43">
        <f>ROUND(R43*(R12)/100,2)</f>
        <v>0</v>
      </c>
      <c r="GL43">
        <f t="shared" si="44"/>
        <v>0</v>
      </c>
      <c r="GM43">
        <f t="shared" si="45"/>
        <v>594699.80000000005</v>
      </c>
      <c r="GN43">
        <f t="shared" si="46"/>
        <v>594699.80000000005</v>
      </c>
      <c r="GO43">
        <f t="shared" si="47"/>
        <v>0</v>
      </c>
      <c r="GP43">
        <f t="shared" si="48"/>
        <v>0</v>
      </c>
      <c r="GR43">
        <v>0</v>
      </c>
      <c r="GS43">
        <v>3</v>
      </c>
      <c r="GT43">
        <v>0</v>
      </c>
      <c r="GU43" t="s">
        <v>6</v>
      </c>
      <c r="GV43">
        <f t="shared" si="49"/>
        <v>0</v>
      </c>
      <c r="GW43">
        <v>1</v>
      </c>
      <c r="GX43">
        <f t="shared" si="50"/>
        <v>0</v>
      </c>
      <c r="HA43">
        <v>0</v>
      </c>
      <c r="HB43">
        <v>0</v>
      </c>
      <c r="IK43">
        <v>0</v>
      </c>
    </row>
    <row r="44" spans="1:245">
      <c r="A44">
        <v>18</v>
      </c>
      <c r="B44">
        <v>1</v>
      </c>
      <c r="C44">
        <v>58</v>
      </c>
      <c r="E44" t="s">
        <v>119</v>
      </c>
      <c r="F44" t="s">
        <v>105</v>
      </c>
      <c r="G44" t="s">
        <v>106</v>
      </c>
      <c r="H44" t="s">
        <v>107</v>
      </c>
      <c r="I44">
        <f>I43*J44</f>
        <v>-685.18295999999998</v>
      </c>
      <c r="J44">
        <v>-42.839999999999996</v>
      </c>
      <c r="O44">
        <f t="shared" si="14"/>
        <v>-103503.74</v>
      </c>
      <c r="P44">
        <f t="shared" si="15"/>
        <v>-103503.74</v>
      </c>
      <c r="Q44">
        <f t="shared" si="16"/>
        <v>0</v>
      </c>
      <c r="R44">
        <f t="shared" si="17"/>
        <v>0</v>
      </c>
      <c r="S44">
        <f t="shared" si="18"/>
        <v>0</v>
      </c>
      <c r="T44">
        <f t="shared" si="19"/>
        <v>0</v>
      </c>
      <c r="U44">
        <f t="shared" si="20"/>
        <v>0</v>
      </c>
      <c r="V44">
        <f t="shared" si="21"/>
        <v>0</v>
      </c>
      <c r="W44">
        <f t="shared" si="22"/>
        <v>0</v>
      </c>
      <c r="X44">
        <f t="shared" si="23"/>
        <v>0</v>
      </c>
      <c r="Y44">
        <f t="shared" si="24"/>
        <v>0</v>
      </c>
      <c r="AA44">
        <v>28315699</v>
      </c>
      <c r="AB44">
        <f t="shared" si="25"/>
        <v>58.1</v>
      </c>
      <c r="AC44">
        <f t="shared" si="26"/>
        <v>58.1</v>
      </c>
      <c r="AD44">
        <f>ROUND((((ET44)-(EU44))+AE44),6)</f>
        <v>0</v>
      </c>
      <c r="AE44">
        <f t="shared" ref="AE44:AF46" si="55">ROUND((EU44),6)</f>
        <v>0</v>
      </c>
      <c r="AF44">
        <f t="shared" si="55"/>
        <v>0</v>
      </c>
      <c r="AG44">
        <f t="shared" si="29"/>
        <v>0</v>
      </c>
      <c r="AH44">
        <f t="shared" ref="AH44:AI46" si="56">(EW44)</f>
        <v>0</v>
      </c>
      <c r="AI44">
        <f t="shared" si="56"/>
        <v>0</v>
      </c>
      <c r="AJ44">
        <f t="shared" si="31"/>
        <v>0</v>
      </c>
      <c r="AK44">
        <v>58.1</v>
      </c>
      <c r="AL44">
        <v>58.1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85</v>
      </c>
      <c r="AU44">
        <v>48</v>
      </c>
      <c r="AV44">
        <v>1</v>
      </c>
      <c r="AW44">
        <v>1</v>
      </c>
      <c r="AZ44">
        <v>1</v>
      </c>
      <c r="BA44">
        <v>1</v>
      </c>
      <c r="BB44">
        <v>1</v>
      </c>
      <c r="BC44">
        <v>2.6</v>
      </c>
      <c r="BD44" t="s">
        <v>6</v>
      </c>
      <c r="BE44" t="s">
        <v>6</v>
      </c>
      <c r="BF44" t="s">
        <v>6</v>
      </c>
      <c r="BG44" t="s">
        <v>6</v>
      </c>
      <c r="BH44">
        <v>3</v>
      </c>
      <c r="BI44">
        <v>1</v>
      </c>
      <c r="BJ44" t="s">
        <v>108</v>
      </c>
      <c r="BM44">
        <v>26001</v>
      </c>
      <c r="BN44">
        <v>0</v>
      </c>
      <c r="BO44" t="s">
        <v>105</v>
      </c>
      <c r="BP44">
        <v>1</v>
      </c>
      <c r="BQ44">
        <v>2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 t="s">
        <v>6</v>
      </c>
      <c r="BZ44">
        <v>100</v>
      </c>
      <c r="CA44">
        <v>70</v>
      </c>
      <c r="CF44">
        <v>0</v>
      </c>
      <c r="CG44">
        <v>0</v>
      </c>
      <c r="CM44">
        <v>0</v>
      </c>
      <c r="CN44" t="s">
        <v>6</v>
      </c>
      <c r="CO44">
        <v>0</v>
      </c>
      <c r="CP44">
        <f t="shared" si="32"/>
        <v>-103503.74</v>
      </c>
      <c r="CQ44">
        <f t="shared" si="33"/>
        <v>151.06</v>
      </c>
      <c r="CR44">
        <f t="shared" si="34"/>
        <v>0</v>
      </c>
      <c r="CS44">
        <f t="shared" si="35"/>
        <v>0</v>
      </c>
      <c r="CT44">
        <f t="shared" si="36"/>
        <v>0</v>
      </c>
      <c r="CU44">
        <f t="shared" si="37"/>
        <v>0</v>
      </c>
      <c r="CV44">
        <f t="shared" si="38"/>
        <v>0</v>
      </c>
      <c r="CW44">
        <f t="shared" si="39"/>
        <v>0</v>
      </c>
      <c r="CX44">
        <f t="shared" si="40"/>
        <v>0</v>
      </c>
      <c r="CY44">
        <f t="shared" si="41"/>
        <v>0</v>
      </c>
      <c r="CZ44">
        <f t="shared" si="42"/>
        <v>0</v>
      </c>
      <c r="DC44" t="s">
        <v>6</v>
      </c>
      <c r="DD44" t="s">
        <v>6</v>
      </c>
      <c r="DE44" t="s">
        <v>6</v>
      </c>
      <c r="DF44" t="s">
        <v>6</v>
      </c>
      <c r="DG44" t="s">
        <v>6</v>
      </c>
      <c r="DH44" t="s">
        <v>6</v>
      </c>
      <c r="DI44" t="s">
        <v>6</v>
      </c>
      <c r="DJ44" t="s">
        <v>6</v>
      </c>
      <c r="DK44" t="s">
        <v>6</v>
      </c>
      <c r="DL44" t="s">
        <v>6</v>
      </c>
      <c r="DM44" t="s">
        <v>6</v>
      </c>
      <c r="DN44">
        <v>0</v>
      </c>
      <c r="DO44">
        <v>0</v>
      </c>
      <c r="DP44">
        <v>1</v>
      </c>
      <c r="DQ44">
        <v>1</v>
      </c>
      <c r="DU44">
        <v>1009</v>
      </c>
      <c r="DV44" t="s">
        <v>107</v>
      </c>
      <c r="DW44" t="s">
        <v>107</v>
      </c>
      <c r="DX44">
        <v>1</v>
      </c>
      <c r="EE44">
        <v>27463166</v>
      </c>
      <c r="EF44">
        <v>2</v>
      </c>
      <c r="EG44" t="s">
        <v>37</v>
      </c>
      <c r="EH44">
        <v>0</v>
      </c>
      <c r="EI44" t="s">
        <v>6</v>
      </c>
      <c r="EJ44">
        <v>1</v>
      </c>
      <c r="EK44">
        <v>26001</v>
      </c>
      <c r="EL44" t="s">
        <v>102</v>
      </c>
      <c r="EM44" t="s">
        <v>103</v>
      </c>
      <c r="EO44" t="s">
        <v>6</v>
      </c>
      <c r="EQ44">
        <v>32768</v>
      </c>
      <c r="ER44">
        <v>58.1</v>
      </c>
      <c r="ES44">
        <v>58.1</v>
      </c>
      <c r="ET44">
        <v>0</v>
      </c>
      <c r="EU44">
        <v>0</v>
      </c>
      <c r="EV44">
        <v>0</v>
      </c>
      <c r="EW44">
        <v>0</v>
      </c>
      <c r="EX44">
        <v>0</v>
      </c>
      <c r="FQ44">
        <v>0</v>
      </c>
      <c r="FR44">
        <f t="shared" si="43"/>
        <v>0</v>
      </c>
      <c r="FS44">
        <v>0</v>
      </c>
      <c r="FU44" t="s">
        <v>25</v>
      </c>
      <c r="FV44" t="s">
        <v>25</v>
      </c>
      <c r="FW44" t="s">
        <v>26</v>
      </c>
      <c r="FX44">
        <v>100</v>
      </c>
      <c r="FY44">
        <v>59.5</v>
      </c>
      <c r="GA44" t="s">
        <v>31</v>
      </c>
      <c r="GD44">
        <v>0</v>
      </c>
      <c r="GF44">
        <v>-1751083780</v>
      </c>
      <c r="GG44">
        <v>2</v>
      </c>
      <c r="GH44">
        <v>1</v>
      </c>
      <c r="GI44">
        <v>2</v>
      </c>
      <c r="GJ44">
        <v>0</v>
      </c>
      <c r="GK44">
        <f>ROUND(R44*(R12)/100,2)</f>
        <v>0</v>
      </c>
      <c r="GL44">
        <f t="shared" si="44"/>
        <v>0</v>
      </c>
      <c r="GM44">
        <f t="shared" si="45"/>
        <v>-103503.74</v>
      </c>
      <c r="GN44">
        <f t="shared" si="46"/>
        <v>-103503.74</v>
      </c>
      <c r="GO44">
        <f t="shared" si="47"/>
        <v>0</v>
      </c>
      <c r="GP44">
        <f t="shared" si="48"/>
        <v>0</v>
      </c>
      <c r="GR44">
        <v>0</v>
      </c>
      <c r="GS44">
        <v>4</v>
      </c>
      <c r="GT44">
        <v>0</v>
      </c>
      <c r="GU44" t="s">
        <v>6</v>
      </c>
      <c r="GV44">
        <f t="shared" si="49"/>
        <v>0</v>
      </c>
      <c r="GW44">
        <v>1</v>
      </c>
      <c r="GX44">
        <f t="shared" si="50"/>
        <v>0</v>
      </c>
      <c r="HA44">
        <v>0</v>
      </c>
      <c r="HB44">
        <v>0</v>
      </c>
      <c r="IK44">
        <v>0</v>
      </c>
    </row>
    <row r="45" spans="1:245">
      <c r="A45">
        <v>18</v>
      </c>
      <c r="B45">
        <v>1</v>
      </c>
      <c r="C45">
        <v>59</v>
      </c>
      <c r="E45" t="s">
        <v>120</v>
      </c>
      <c r="F45" t="s">
        <v>110</v>
      </c>
      <c r="G45" t="s">
        <v>111</v>
      </c>
      <c r="H45" t="s">
        <v>107</v>
      </c>
      <c r="I45">
        <f>I43*J45</f>
        <v>-658.31304</v>
      </c>
      <c r="J45">
        <v>-41.160000000000004</v>
      </c>
      <c r="O45">
        <f t="shared" si="14"/>
        <v>-87297.58</v>
      </c>
      <c r="P45">
        <f t="shared" si="15"/>
        <v>-87297.58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28315699</v>
      </c>
      <c r="AB45">
        <f t="shared" si="25"/>
        <v>51.8</v>
      </c>
      <c r="AC45">
        <f t="shared" si="26"/>
        <v>51.8</v>
      </c>
      <c r="AD45">
        <f>ROUND((((ET45)-(EU45))+AE45),6)</f>
        <v>0</v>
      </c>
      <c r="AE45">
        <f t="shared" si="55"/>
        <v>0</v>
      </c>
      <c r="AF45">
        <f t="shared" si="55"/>
        <v>0</v>
      </c>
      <c r="AG45">
        <f t="shared" si="29"/>
        <v>0</v>
      </c>
      <c r="AH45">
        <f t="shared" si="56"/>
        <v>0</v>
      </c>
      <c r="AI45">
        <f t="shared" si="56"/>
        <v>0</v>
      </c>
      <c r="AJ45">
        <f t="shared" si="31"/>
        <v>0</v>
      </c>
      <c r="AK45">
        <v>51.8</v>
      </c>
      <c r="AL45">
        <v>51.8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85</v>
      </c>
      <c r="AU45">
        <v>48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2.56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112</v>
      </c>
      <c r="BM45">
        <v>26001</v>
      </c>
      <c r="BN45">
        <v>0</v>
      </c>
      <c r="BO45" t="s">
        <v>110</v>
      </c>
      <c r="BP45">
        <v>1</v>
      </c>
      <c r="BQ45">
        <v>2</v>
      </c>
      <c r="BR45">
        <v>1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100</v>
      </c>
      <c r="CA45">
        <v>70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2"/>
        <v>-87297.58</v>
      </c>
      <c r="CQ45">
        <f t="shared" si="33"/>
        <v>132.608</v>
      </c>
      <c r="CR45">
        <f t="shared" si="34"/>
        <v>0</v>
      </c>
      <c r="CS45">
        <f t="shared" si="35"/>
        <v>0</v>
      </c>
      <c r="CT45">
        <f t="shared" si="36"/>
        <v>0</v>
      </c>
      <c r="CU45">
        <f t="shared" si="37"/>
        <v>0</v>
      </c>
      <c r="CV45">
        <f t="shared" si="38"/>
        <v>0</v>
      </c>
      <c r="CW45">
        <f t="shared" si="39"/>
        <v>0</v>
      </c>
      <c r="CX45">
        <f t="shared" si="40"/>
        <v>0</v>
      </c>
      <c r="CY45">
        <f t="shared" si="41"/>
        <v>0</v>
      </c>
      <c r="CZ45">
        <f t="shared" si="42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107</v>
      </c>
      <c r="DW45" t="s">
        <v>107</v>
      </c>
      <c r="DX45">
        <v>1</v>
      </c>
      <c r="EE45">
        <v>27463166</v>
      </c>
      <c r="EF45">
        <v>2</v>
      </c>
      <c r="EG45" t="s">
        <v>37</v>
      </c>
      <c r="EH45">
        <v>0</v>
      </c>
      <c r="EI45" t="s">
        <v>6</v>
      </c>
      <c r="EJ45">
        <v>1</v>
      </c>
      <c r="EK45">
        <v>26001</v>
      </c>
      <c r="EL45" t="s">
        <v>102</v>
      </c>
      <c r="EM45" t="s">
        <v>103</v>
      </c>
      <c r="EO45" t="s">
        <v>6</v>
      </c>
      <c r="EQ45">
        <v>32768</v>
      </c>
      <c r="ER45">
        <v>51.8</v>
      </c>
      <c r="ES45">
        <v>51.8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3"/>
        <v>0</v>
      </c>
      <c r="FS45">
        <v>0</v>
      </c>
      <c r="FU45" t="s">
        <v>25</v>
      </c>
      <c r="FV45" t="s">
        <v>25</v>
      </c>
      <c r="FW45" t="s">
        <v>26</v>
      </c>
      <c r="FX45">
        <v>100</v>
      </c>
      <c r="FY45">
        <v>59.5</v>
      </c>
      <c r="GA45" t="s">
        <v>31</v>
      </c>
      <c r="GD45">
        <v>0</v>
      </c>
      <c r="GF45">
        <v>-286688287</v>
      </c>
      <c r="GG45">
        <v>2</v>
      </c>
      <c r="GH45">
        <v>1</v>
      </c>
      <c r="GI45">
        <v>2</v>
      </c>
      <c r="GJ45">
        <v>0</v>
      </c>
      <c r="GK45">
        <f>ROUND(R45*(R12)/100,2)</f>
        <v>0</v>
      </c>
      <c r="GL45">
        <f t="shared" si="44"/>
        <v>0</v>
      </c>
      <c r="GM45">
        <f t="shared" si="45"/>
        <v>-87297.58</v>
      </c>
      <c r="GN45">
        <f t="shared" si="46"/>
        <v>-87297.58</v>
      </c>
      <c r="GO45">
        <f t="shared" si="47"/>
        <v>0</v>
      </c>
      <c r="GP45">
        <f t="shared" si="48"/>
        <v>0</v>
      </c>
      <c r="GR45">
        <v>0</v>
      </c>
      <c r="GS45">
        <v>4</v>
      </c>
      <c r="GT45">
        <v>0</v>
      </c>
      <c r="GU45" t="s">
        <v>6</v>
      </c>
      <c r="GV45">
        <f t="shared" si="49"/>
        <v>0</v>
      </c>
      <c r="GW45">
        <v>1</v>
      </c>
      <c r="GX45">
        <f t="shared" si="50"/>
        <v>0</v>
      </c>
      <c r="HA45">
        <v>0</v>
      </c>
      <c r="HB45">
        <v>0</v>
      </c>
      <c r="IK45">
        <v>0</v>
      </c>
    </row>
    <row r="46" spans="1:245">
      <c r="A46">
        <v>18</v>
      </c>
      <c r="B46">
        <v>1</v>
      </c>
      <c r="C46">
        <v>62</v>
      </c>
      <c r="E46" t="s">
        <v>121</v>
      </c>
      <c r="F46" t="s">
        <v>114</v>
      </c>
      <c r="G46" t="s">
        <v>122</v>
      </c>
      <c r="H46" t="s">
        <v>107</v>
      </c>
      <c r="I46">
        <f>I43*J46</f>
        <v>17593.400000000001</v>
      </c>
      <c r="J46">
        <v>1100</v>
      </c>
      <c r="O46">
        <f t="shared" si="14"/>
        <v>7984236.79</v>
      </c>
      <c r="P46">
        <f t="shared" si="15"/>
        <v>7984236.79</v>
      </c>
      <c r="Q46">
        <f t="shared" si="16"/>
        <v>0</v>
      </c>
      <c r="R46">
        <f t="shared" si="17"/>
        <v>0</v>
      </c>
      <c r="S46">
        <f t="shared" si="18"/>
        <v>0</v>
      </c>
      <c r="T46">
        <f t="shared" si="19"/>
        <v>0</v>
      </c>
      <c r="U46">
        <f t="shared" si="20"/>
        <v>0</v>
      </c>
      <c r="V46">
        <f t="shared" si="21"/>
        <v>0</v>
      </c>
      <c r="W46">
        <f t="shared" si="22"/>
        <v>0</v>
      </c>
      <c r="X46">
        <f t="shared" si="23"/>
        <v>0</v>
      </c>
      <c r="Y46">
        <f t="shared" si="24"/>
        <v>0</v>
      </c>
      <c r="AA46">
        <v>28315699</v>
      </c>
      <c r="AB46">
        <f t="shared" si="25"/>
        <v>453.82</v>
      </c>
      <c r="AC46">
        <f t="shared" si="26"/>
        <v>453.82</v>
      </c>
      <c r="AD46">
        <f>ROUND((((ET46)-(EU46))+AE46),6)</f>
        <v>0</v>
      </c>
      <c r="AE46">
        <f t="shared" si="55"/>
        <v>0</v>
      </c>
      <c r="AF46">
        <f t="shared" si="55"/>
        <v>0</v>
      </c>
      <c r="AG46">
        <f t="shared" si="29"/>
        <v>0</v>
      </c>
      <c r="AH46">
        <f t="shared" si="56"/>
        <v>0</v>
      </c>
      <c r="AI46">
        <f t="shared" si="56"/>
        <v>0</v>
      </c>
      <c r="AJ46">
        <f t="shared" si="31"/>
        <v>0</v>
      </c>
      <c r="AK46">
        <v>453.82</v>
      </c>
      <c r="AL46">
        <v>453.82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85</v>
      </c>
      <c r="AU46">
        <v>48</v>
      </c>
      <c r="AV46">
        <v>1</v>
      </c>
      <c r="AW46">
        <v>1</v>
      </c>
      <c r="AZ46">
        <v>1</v>
      </c>
      <c r="BA46">
        <v>1</v>
      </c>
      <c r="BB46">
        <v>1</v>
      </c>
      <c r="BC46">
        <v>1</v>
      </c>
      <c r="BD46" t="s">
        <v>6</v>
      </c>
      <c r="BE46" t="s">
        <v>6</v>
      </c>
      <c r="BF46" t="s">
        <v>6</v>
      </c>
      <c r="BG46" t="s">
        <v>6</v>
      </c>
      <c r="BH46">
        <v>3</v>
      </c>
      <c r="BI46">
        <v>1</v>
      </c>
      <c r="BJ46" t="s">
        <v>6</v>
      </c>
      <c r="BM46">
        <v>26001</v>
      </c>
      <c r="BN46">
        <v>0</v>
      </c>
      <c r="BO46" t="s">
        <v>6</v>
      </c>
      <c r="BP46">
        <v>0</v>
      </c>
      <c r="BQ46">
        <v>2</v>
      </c>
      <c r="BR46">
        <v>0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 t="s">
        <v>6</v>
      </c>
      <c r="BZ46">
        <v>100</v>
      </c>
      <c r="CA46">
        <v>70</v>
      </c>
      <c r="CF46">
        <v>0</v>
      </c>
      <c r="CG46">
        <v>0</v>
      </c>
      <c r="CM46">
        <v>0</v>
      </c>
      <c r="CN46" t="s">
        <v>6</v>
      </c>
      <c r="CO46">
        <v>0</v>
      </c>
      <c r="CP46">
        <f t="shared" si="32"/>
        <v>7984236.79</v>
      </c>
      <c r="CQ46">
        <f t="shared" si="33"/>
        <v>453.82</v>
      </c>
      <c r="CR46">
        <f t="shared" si="34"/>
        <v>0</v>
      </c>
      <c r="CS46">
        <f t="shared" si="35"/>
        <v>0</v>
      </c>
      <c r="CT46">
        <f t="shared" si="36"/>
        <v>0</v>
      </c>
      <c r="CU46">
        <f t="shared" si="37"/>
        <v>0</v>
      </c>
      <c r="CV46">
        <f t="shared" si="38"/>
        <v>0</v>
      </c>
      <c r="CW46">
        <f t="shared" si="39"/>
        <v>0</v>
      </c>
      <c r="CX46">
        <f t="shared" si="40"/>
        <v>0</v>
      </c>
      <c r="CY46">
        <f t="shared" si="41"/>
        <v>0</v>
      </c>
      <c r="CZ46">
        <f t="shared" si="42"/>
        <v>0</v>
      </c>
      <c r="DC46" t="s">
        <v>6</v>
      </c>
      <c r="DD46" t="s">
        <v>6</v>
      </c>
      <c r="DE46" t="s">
        <v>6</v>
      </c>
      <c r="DF46" t="s">
        <v>6</v>
      </c>
      <c r="DG46" t="s">
        <v>6</v>
      </c>
      <c r="DH46" t="s">
        <v>6</v>
      </c>
      <c r="DI46" t="s">
        <v>6</v>
      </c>
      <c r="DJ46" t="s">
        <v>6</v>
      </c>
      <c r="DK46" t="s">
        <v>6</v>
      </c>
      <c r="DL46" t="s">
        <v>6</v>
      </c>
      <c r="DM46" t="s">
        <v>6</v>
      </c>
      <c r="DN46">
        <v>0</v>
      </c>
      <c r="DO46">
        <v>0</v>
      </c>
      <c r="DP46">
        <v>1</v>
      </c>
      <c r="DQ46">
        <v>1</v>
      </c>
      <c r="DU46">
        <v>1009</v>
      </c>
      <c r="DV46" t="s">
        <v>107</v>
      </c>
      <c r="DW46" t="s">
        <v>107</v>
      </c>
      <c r="DX46">
        <v>1</v>
      </c>
      <c r="EE46">
        <v>27463166</v>
      </c>
      <c r="EF46">
        <v>2</v>
      </c>
      <c r="EG46" t="s">
        <v>37</v>
      </c>
      <c r="EH46">
        <v>0</v>
      </c>
      <c r="EI46" t="s">
        <v>6</v>
      </c>
      <c r="EJ46">
        <v>1</v>
      </c>
      <c r="EK46">
        <v>26001</v>
      </c>
      <c r="EL46" t="s">
        <v>102</v>
      </c>
      <c r="EM46" t="s">
        <v>103</v>
      </c>
      <c r="EO46" t="s">
        <v>6</v>
      </c>
      <c r="EQ46">
        <v>0</v>
      </c>
      <c r="ER46">
        <v>453.82</v>
      </c>
      <c r="ES46">
        <v>453.82</v>
      </c>
      <c r="ET46">
        <v>0</v>
      </c>
      <c r="EU46">
        <v>0</v>
      </c>
      <c r="EV46">
        <v>0</v>
      </c>
      <c r="EW46">
        <v>0</v>
      </c>
      <c r="EX46">
        <v>0</v>
      </c>
      <c r="EZ46">
        <v>5</v>
      </c>
      <c r="FC46">
        <v>1</v>
      </c>
      <c r="FD46">
        <v>18</v>
      </c>
      <c r="FF46">
        <v>525</v>
      </c>
      <c r="FQ46">
        <v>0</v>
      </c>
      <c r="FR46">
        <f t="shared" si="43"/>
        <v>0</v>
      </c>
      <c r="FS46">
        <v>0</v>
      </c>
      <c r="FU46" t="s">
        <v>25</v>
      </c>
      <c r="FV46" t="s">
        <v>25</v>
      </c>
      <c r="FW46" t="s">
        <v>26</v>
      </c>
      <c r="FX46">
        <v>100</v>
      </c>
      <c r="FY46">
        <v>59.5</v>
      </c>
      <c r="GA46" t="s">
        <v>123</v>
      </c>
      <c r="GD46">
        <v>0</v>
      </c>
      <c r="GF46">
        <v>-764926923</v>
      </c>
      <c r="GG46">
        <v>2</v>
      </c>
      <c r="GH46">
        <v>3</v>
      </c>
      <c r="GI46">
        <v>-2</v>
      </c>
      <c r="GJ46">
        <v>0</v>
      </c>
      <c r="GK46">
        <f>ROUND(R46*(R12)/100,2)</f>
        <v>0</v>
      </c>
      <c r="GL46">
        <f t="shared" si="44"/>
        <v>0</v>
      </c>
      <c r="GM46">
        <f t="shared" si="45"/>
        <v>7984236.79</v>
      </c>
      <c r="GN46">
        <f t="shared" si="46"/>
        <v>7984236.79</v>
      </c>
      <c r="GO46">
        <f t="shared" si="47"/>
        <v>0</v>
      </c>
      <c r="GP46">
        <f t="shared" si="48"/>
        <v>0</v>
      </c>
      <c r="GR46">
        <v>1</v>
      </c>
      <c r="GS46">
        <v>1</v>
      </c>
      <c r="GT46">
        <v>0</v>
      </c>
      <c r="GU46" t="s">
        <v>6</v>
      </c>
      <c r="GV46">
        <f t="shared" si="49"/>
        <v>0</v>
      </c>
      <c r="GW46">
        <v>1</v>
      </c>
      <c r="GX46">
        <f t="shared" si="50"/>
        <v>0</v>
      </c>
      <c r="HA46">
        <v>0</v>
      </c>
      <c r="HB46">
        <v>0</v>
      </c>
      <c r="IK46">
        <v>0</v>
      </c>
    </row>
    <row r="47" spans="1:245">
      <c r="A47">
        <v>17</v>
      </c>
      <c r="B47">
        <v>1</v>
      </c>
      <c r="C47">
        <f>ROW(SmtRes!A74)</f>
        <v>74</v>
      </c>
      <c r="D47">
        <f>ROW(EtalonRes!A72)</f>
        <v>72</v>
      </c>
      <c r="E47" t="s">
        <v>124</v>
      </c>
      <c r="F47" t="s">
        <v>99</v>
      </c>
      <c r="G47" t="s">
        <v>125</v>
      </c>
      <c r="H47" t="s">
        <v>73</v>
      </c>
      <c r="I47">
        <v>2.39</v>
      </c>
      <c r="J47">
        <v>0</v>
      </c>
      <c r="O47">
        <f t="shared" si="14"/>
        <v>58390.06</v>
      </c>
      <c r="P47">
        <f t="shared" si="15"/>
        <v>32127.94</v>
      </c>
      <c r="Q47">
        <f t="shared" si="16"/>
        <v>3652.17</v>
      </c>
      <c r="R47">
        <f t="shared" si="17"/>
        <v>304.74</v>
      </c>
      <c r="S47">
        <f t="shared" si="18"/>
        <v>22609.95</v>
      </c>
      <c r="T47">
        <f t="shared" si="19"/>
        <v>0</v>
      </c>
      <c r="U47">
        <f t="shared" si="20"/>
        <v>88.034454999999994</v>
      </c>
      <c r="V47">
        <f t="shared" si="21"/>
        <v>1.0157500000000002</v>
      </c>
      <c r="W47">
        <f t="shared" si="22"/>
        <v>0</v>
      </c>
      <c r="X47">
        <f t="shared" si="23"/>
        <v>19477.490000000002</v>
      </c>
      <c r="Y47">
        <f t="shared" si="24"/>
        <v>10999.05</v>
      </c>
      <c r="AA47">
        <v>28315699</v>
      </c>
      <c r="AB47">
        <f t="shared" si="25"/>
        <v>5729.0735000000004</v>
      </c>
      <c r="AC47">
        <f t="shared" si="26"/>
        <v>4978.76</v>
      </c>
      <c r="AD47">
        <f>ROUND(((((ET47*1.25))-((EU47*1.25)))+AE47),6)</f>
        <v>384.91250000000002</v>
      </c>
      <c r="AE47">
        <f>ROUND(((EU47*1.25)),6)</f>
        <v>4.9249999999999998</v>
      </c>
      <c r="AF47">
        <f>ROUND(((EV47*1.15)),6)</f>
        <v>365.40100000000001</v>
      </c>
      <c r="AG47">
        <f t="shared" si="29"/>
        <v>0</v>
      </c>
      <c r="AH47">
        <f>((EW47*1.15))</f>
        <v>36.834499999999998</v>
      </c>
      <c r="AI47">
        <f>((EX47*1.25))</f>
        <v>0.42500000000000004</v>
      </c>
      <c r="AJ47">
        <f t="shared" si="31"/>
        <v>0</v>
      </c>
      <c r="AK47">
        <v>5604.43</v>
      </c>
      <c r="AL47">
        <v>4978.76</v>
      </c>
      <c r="AM47">
        <v>307.93</v>
      </c>
      <c r="AN47">
        <v>3.94</v>
      </c>
      <c r="AO47">
        <v>317.74</v>
      </c>
      <c r="AP47">
        <v>0</v>
      </c>
      <c r="AQ47">
        <v>32.03</v>
      </c>
      <c r="AR47">
        <v>0.34</v>
      </c>
      <c r="AS47">
        <v>0</v>
      </c>
      <c r="AT47">
        <v>85</v>
      </c>
      <c r="AU47">
        <v>48</v>
      </c>
      <c r="AV47">
        <v>1</v>
      </c>
      <c r="AW47">
        <v>1</v>
      </c>
      <c r="AZ47">
        <v>1</v>
      </c>
      <c r="BA47">
        <v>25.89</v>
      </c>
      <c r="BB47">
        <v>3.97</v>
      </c>
      <c r="BC47">
        <v>2.7</v>
      </c>
      <c r="BD47" t="s">
        <v>6</v>
      </c>
      <c r="BE47" t="s">
        <v>6</v>
      </c>
      <c r="BF47" t="s">
        <v>6</v>
      </c>
      <c r="BG47" t="s">
        <v>6</v>
      </c>
      <c r="BH47">
        <v>0</v>
      </c>
      <c r="BI47">
        <v>1</v>
      </c>
      <c r="BJ47" t="s">
        <v>101</v>
      </c>
      <c r="BM47">
        <v>26001</v>
      </c>
      <c r="BN47">
        <v>0</v>
      </c>
      <c r="BO47" t="s">
        <v>99</v>
      </c>
      <c r="BP47">
        <v>1</v>
      </c>
      <c r="BQ47">
        <v>2</v>
      </c>
      <c r="BR47">
        <v>0</v>
      </c>
      <c r="BS47">
        <v>25.89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100</v>
      </c>
      <c r="CA47">
        <v>70</v>
      </c>
      <c r="CF47">
        <v>0</v>
      </c>
      <c r="CG47">
        <v>0</v>
      </c>
      <c r="CM47">
        <v>0</v>
      </c>
      <c r="CN47" t="s">
        <v>54</v>
      </c>
      <c r="CO47">
        <v>0</v>
      </c>
      <c r="CP47">
        <f t="shared" si="32"/>
        <v>58390.06</v>
      </c>
      <c r="CQ47">
        <f t="shared" si="33"/>
        <v>13442.652000000002</v>
      </c>
      <c r="CR47">
        <f t="shared" si="34"/>
        <v>1528.1026250000002</v>
      </c>
      <c r="CS47">
        <f t="shared" si="35"/>
        <v>127.50825</v>
      </c>
      <c r="CT47">
        <f t="shared" si="36"/>
        <v>9460.2318900000009</v>
      </c>
      <c r="CU47">
        <f t="shared" si="37"/>
        <v>0</v>
      </c>
      <c r="CV47">
        <f t="shared" si="38"/>
        <v>36.834499999999998</v>
      </c>
      <c r="CW47">
        <f t="shared" si="39"/>
        <v>0.42500000000000004</v>
      </c>
      <c r="CX47">
        <f t="shared" si="40"/>
        <v>0</v>
      </c>
      <c r="CY47">
        <f t="shared" si="41"/>
        <v>19477.486500000003</v>
      </c>
      <c r="CZ47">
        <f t="shared" si="42"/>
        <v>10999.051200000002</v>
      </c>
      <c r="DC47" t="s">
        <v>6</v>
      </c>
      <c r="DD47" t="s">
        <v>6</v>
      </c>
      <c r="DE47" t="s">
        <v>55</v>
      </c>
      <c r="DF47" t="s">
        <v>55</v>
      </c>
      <c r="DG47" t="s">
        <v>56</v>
      </c>
      <c r="DH47" t="s">
        <v>6</v>
      </c>
      <c r="DI47" t="s">
        <v>56</v>
      </c>
      <c r="DJ47" t="s">
        <v>55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1007</v>
      </c>
      <c r="DV47" t="s">
        <v>73</v>
      </c>
      <c r="DW47" t="s">
        <v>73</v>
      </c>
      <c r="DX47">
        <v>1</v>
      </c>
      <c r="EE47">
        <v>27463166</v>
      </c>
      <c r="EF47">
        <v>2</v>
      </c>
      <c r="EG47" t="s">
        <v>37</v>
      </c>
      <c r="EH47">
        <v>0</v>
      </c>
      <c r="EI47" t="s">
        <v>6</v>
      </c>
      <c r="EJ47">
        <v>1</v>
      </c>
      <c r="EK47">
        <v>26001</v>
      </c>
      <c r="EL47" t="s">
        <v>102</v>
      </c>
      <c r="EM47" t="s">
        <v>103</v>
      </c>
      <c r="EO47" t="s">
        <v>59</v>
      </c>
      <c r="EQ47">
        <v>0</v>
      </c>
      <c r="ER47">
        <v>5604.43</v>
      </c>
      <c r="ES47">
        <v>4978.76</v>
      </c>
      <c r="ET47">
        <v>307.93</v>
      </c>
      <c r="EU47">
        <v>3.94</v>
      </c>
      <c r="EV47">
        <v>317.74</v>
      </c>
      <c r="EW47">
        <v>32.03</v>
      </c>
      <c r="EX47">
        <v>0.34</v>
      </c>
      <c r="EY47">
        <v>0</v>
      </c>
      <c r="FQ47">
        <v>0</v>
      </c>
      <c r="FR47">
        <f t="shared" si="43"/>
        <v>0</v>
      </c>
      <c r="FS47">
        <v>0</v>
      </c>
      <c r="FU47" t="s">
        <v>25</v>
      </c>
      <c r="FV47" t="s">
        <v>25</v>
      </c>
      <c r="FW47" t="s">
        <v>26</v>
      </c>
      <c r="FX47">
        <v>100</v>
      </c>
      <c r="FY47">
        <v>59.5</v>
      </c>
      <c r="GA47" t="s">
        <v>6</v>
      </c>
      <c r="GD47">
        <v>0</v>
      </c>
      <c r="GF47">
        <v>-433004832</v>
      </c>
      <c r="GG47">
        <v>2</v>
      </c>
      <c r="GH47">
        <v>1</v>
      </c>
      <c r="GI47">
        <v>2</v>
      </c>
      <c r="GJ47">
        <v>0</v>
      </c>
      <c r="GK47">
        <f>ROUND(R47*(R12)/100,2)</f>
        <v>0</v>
      </c>
      <c r="GL47">
        <f t="shared" si="44"/>
        <v>0</v>
      </c>
      <c r="GM47">
        <f t="shared" si="45"/>
        <v>88866.6</v>
      </c>
      <c r="GN47">
        <f t="shared" si="46"/>
        <v>88866.6</v>
      </c>
      <c r="GO47">
        <f t="shared" si="47"/>
        <v>0</v>
      </c>
      <c r="GP47">
        <f t="shared" si="48"/>
        <v>0</v>
      </c>
      <c r="GR47">
        <v>0</v>
      </c>
      <c r="GS47">
        <v>3</v>
      </c>
      <c r="GT47">
        <v>0</v>
      </c>
      <c r="GU47" t="s">
        <v>6</v>
      </c>
      <c r="GV47">
        <f t="shared" si="49"/>
        <v>0</v>
      </c>
      <c r="GW47">
        <v>1</v>
      </c>
      <c r="GX47">
        <f t="shared" si="50"/>
        <v>0</v>
      </c>
      <c r="HA47">
        <v>0</v>
      </c>
      <c r="HB47">
        <v>0</v>
      </c>
      <c r="IK47">
        <v>0</v>
      </c>
    </row>
    <row r="48" spans="1:245">
      <c r="A48">
        <v>18</v>
      </c>
      <c r="B48">
        <v>1</v>
      </c>
      <c r="C48">
        <v>70</v>
      </c>
      <c r="E48" t="s">
        <v>126</v>
      </c>
      <c r="F48" t="s">
        <v>105</v>
      </c>
      <c r="G48" t="s">
        <v>106</v>
      </c>
      <c r="H48" t="s">
        <v>107</v>
      </c>
      <c r="I48">
        <f>I47*J48</f>
        <v>-102.38760000000002</v>
      </c>
      <c r="J48">
        <v>-42.84</v>
      </c>
      <c r="O48">
        <f t="shared" si="14"/>
        <v>-15466.67</v>
      </c>
      <c r="P48">
        <f t="shared" si="15"/>
        <v>-15466.67</v>
      </c>
      <c r="Q48">
        <f t="shared" si="16"/>
        <v>0</v>
      </c>
      <c r="R48">
        <f t="shared" si="17"/>
        <v>0</v>
      </c>
      <c r="S48">
        <f t="shared" si="18"/>
        <v>0</v>
      </c>
      <c r="T48">
        <f t="shared" si="19"/>
        <v>0</v>
      </c>
      <c r="U48">
        <f t="shared" si="20"/>
        <v>0</v>
      </c>
      <c r="V48">
        <f t="shared" si="21"/>
        <v>0</v>
      </c>
      <c r="W48">
        <f t="shared" si="22"/>
        <v>0</v>
      </c>
      <c r="X48">
        <f t="shared" si="23"/>
        <v>0</v>
      </c>
      <c r="Y48">
        <f t="shared" si="24"/>
        <v>0</v>
      </c>
      <c r="AA48">
        <v>28315699</v>
      </c>
      <c r="AB48">
        <f t="shared" si="25"/>
        <v>58.1</v>
      </c>
      <c r="AC48">
        <f t="shared" si="26"/>
        <v>58.1</v>
      </c>
      <c r="AD48">
        <f>ROUND((((ET48)-(EU48))+AE48),6)</f>
        <v>0</v>
      </c>
      <c r="AE48">
        <f t="shared" ref="AE48:AF50" si="57">ROUND((EU48),6)</f>
        <v>0</v>
      </c>
      <c r="AF48">
        <f t="shared" si="57"/>
        <v>0</v>
      </c>
      <c r="AG48">
        <f t="shared" si="29"/>
        <v>0</v>
      </c>
      <c r="AH48">
        <f t="shared" ref="AH48:AI50" si="58">(EW48)</f>
        <v>0</v>
      </c>
      <c r="AI48">
        <f t="shared" si="58"/>
        <v>0</v>
      </c>
      <c r="AJ48">
        <f t="shared" si="31"/>
        <v>0</v>
      </c>
      <c r="AK48">
        <v>58.1</v>
      </c>
      <c r="AL48">
        <v>58.1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85</v>
      </c>
      <c r="AU48">
        <v>48</v>
      </c>
      <c r="AV48">
        <v>1</v>
      </c>
      <c r="AW48">
        <v>1</v>
      </c>
      <c r="AZ48">
        <v>1</v>
      </c>
      <c r="BA48">
        <v>1</v>
      </c>
      <c r="BB48">
        <v>1</v>
      </c>
      <c r="BC48">
        <v>2.6</v>
      </c>
      <c r="BD48" t="s">
        <v>6</v>
      </c>
      <c r="BE48" t="s">
        <v>6</v>
      </c>
      <c r="BF48" t="s">
        <v>6</v>
      </c>
      <c r="BG48" t="s">
        <v>6</v>
      </c>
      <c r="BH48">
        <v>3</v>
      </c>
      <c r="BI48">
        <v>1</v>
      </c>
      <c r="BJ48" t="s">
        <v>108</v>
      </c>
      <c r="BM48">
        <v>26001</v>
      </c>
      <c r="BN48">
        <v>0</v>
      </c>
      <c r="BO48" t="s">
        <v>105</v>
      </c>
      <c r="BP48">
        <v>1</v>
      </c>
      <c r="BQ48">
        <v>2</v>
      </c>
      <c r="BR48">
        <v>1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 t="s">
        <v>6</v>
      </c>
      <c r="BZ48">
        <v>100</v>
      </c>
      <c r="CA48">
        <v>70</v>
      </c>
      <c r="CF48">
        <v>0</v>
      </c>
      <c r="CG48">
        <v>0</v>
      </c>
      <c r="CM48">
        <v>0</v>
      </c>
      <c r="CN48" t="s">
        <v>6</v>
      </c>
      <c r="CO48">
        <v>0</v>
      </c>
      <c r="CP48">
        <f t="shared" si="32"/>
        <v>-15466.67</v>
      </c>
      <c r="CQ48">
        <f t="shared" si="33"/>
        <v>151.06</v>
      </c>
      <c r="CR48">
        <f t="shared" si="34"/>
        <v>0</v>
      </c>
      <c r="CS48">
        <f t="shared" si="35"/>
        <v>0</v>
      </c>
      <c r="CT48">
        <f t="shared" si="36"/>
        <v>0</v>
      </c>
      <c r="CU48">
        <f t="shared" si="37"/>
        <v>0</v>
      </c>
      <c r="CV48">
        <f t="shared" si="38"/>
        <v>0</v>
      </c>
      <c r="CW48">
        <f t="shared" si="39"/>
        <v>0</v>
      </c>
      <c r="CX48">
        <f t="shared" si="40"/>
        <v>0</v>
      </c>
      <c r="CY48">
        <f t="shared" si="41"/>
        <v>0</v>
      </c>
      <c r="CZ48">
        <f t="shared" si="42"/>
        <v>0</v>
      </c>
      <c r="DC48" t="s">
        <v>6</v>
      </c>
      <c r="DD48" t="s">
        <v>6</v>
      </c>
      <c r="DE48" t="s">
        <v>6</v>
      </c>
      <c r="DF48" t="s">
        <v>6</v>
      </c>
      <c r="DG48" t="s">
        <v>6</v>
      </c>
      <c r="DH48" t="s">
        <v>6</v>
      </c>
      <c r="DI48" t="s">
        <v>6</v>
      </c>
      <c r="DJ48" t="s">
        <v>6</v>
      </c>
      <c r="DK48" t="s">
        <v>6</v>
      </c>
      <c r="DL48" t="s">
        <v>6</v>
      </c>
      <c r="DM48" t="s">
        <v>6</v>
      </c>
      <c r="DN48">
        <v>0</v>
      </c>
      <c r="DO48">
        <v>0</v>
      </c>
      <c r="DP48">
        <v>1</v>
      </c>
      <c r="DQ48">
        <v>1</v>
      </c>
      <c r="DU48">
        <v>1009</v>
      </c>
      <c r="DV48" t="s">
        <v>107</v>
      </c>
      <c r="DW48" t="s">
        <v>107</v>
      </c>
      <c r="DX48">
        <v>1</v>
      </c>
      <c r="EE48">
        <v>27463166</v>
      </c>
      <c r="EF48">
        <v>2</v>
      </c>
      <c r="EG48" t="s">
        <v>37</v>
      </c>
      <c r="EH48">
        <v>0</v>
      </c>
      <c r="EI48" t="s">
        <v>6</v>
      </c>
      <c r="EJ48">
        <v>1</v>
      </c>
      <c r="EK48">
        <v>26001</v>
      </c>
      <c r="EL48" t="s">
        <v>102</v>
      </c>
      <c r="EM48" t="s">
        <v>103</v>
      </c>
      <c r="EO48" t="s">
        <v>6</v>
      </c>
      <c r="EQ48">
        <v>32768</v>
      </c>
      <c r="ER48">
        <v>58.1</v>
      </c>
      <c r="ES48">
        <v>58.1</v>
      </c>
      <c r="ET48">
        <v>0</v>
      </c>
      <c r="EU48">
        <v>0</v>
      </c>
      <c r="EV48">
        <v>0</v>
      </c>
      <c r="EW48">
        <v>0</v>
      </c>
      <c r="EX48">
        <v>0</v>
      </c>
      <c r="FQ48">
        <v>0</v>
      </c>
      <c r="FR48">
        <f t="shared" si="43"/>
        <v>0</v>
      </c>
      <c r="FS48">
        <v>0</v>
      </c>
      <c r="FU48" t="s">
        <v>25</v>
      </c>
      <c r="FV48" t="s">
        <v>25</v>
      </c>
      <c r="FW48" t="s">
        <v>26</v>
      </c>
      <c r="FX48">
        <v>100</v>
      </c>
      <c r="FY48">
        <v>59.5</v>
      </c>
      <c r="GA48" t="s">
        <v>31</v>
      </c>
      <c r="GD48">
        <v>0</v>
      </c>
      <c r="GF48">
        <v>-1751083780</v>
      </c>
      <c r="GG48">
        <v>2</v>
      </c>
      <c r="GH48">
        <v>1</v>
      </c>
      <c r="GI48">
        <v>2</v>
      </c>
      <c r="GJ48">
        <v>0</v>
      </c>
      <c r="GK48">
        <f>ROUND(R48*(R12)/100,2)</f>
        <v>0</v>
      </c>
      <c r="GL48">
        <f t="shared" si="44"/>
        <v>0</v>
      </c>
      <c r="GM48">
        <f t="shared" si="45"/>
        <v>-15466.67</v>
      </c>
      <c r="GN48">
        <f t="shared" si="46"/>
        <v>-15466.67</v>
      </c>
      <c r="GO48">
        <f t="shared" si="47"/>
        <v>0</v>
      </c>
      <c r="GP48">
        <f t="shared" si="48"/>
        <v>0</v>
      </c>
      <c r="GR48">
        <v>0</v>
      </c>
      <c r="GS48">
        <v>4</v>
      </c>
      <c r="GT48">
        <v>0</v>
      </c>
      <c r="GU48" t="s">
        <v>6</v>
      </c>
      <c r="GV48">
        <f t="shared" si="49"/>
        <v>0</v>
      </c>
      <c r="GW48">
        <v>1</v>
      </c>
      <c r="GX48">
        <f t="shared" si="50"/>
        <v>0</v>
      </c>
      <c r="HA48">
        <v>0</v>
      </c>
      <c r="HB48">
        <v>0</v>
      </c>
      <c r="IK48">
        <v>0</v>
      </c>
    </row>
    <row r="49" spans="1:245">
      <c r="A49">
        <v>18</v>
      </c>
      <c r="B49">
        <v>1</v>
      </c>
      <c r="C49">
        <v>71</v>
      </c>
      <c r="E49" t="s">
        <v>127</v>
      </c>
      <c r="F49" t="s">
        <v>110</v>
      </c>
      <c r="G49" t="s">
        <v>111</v>
      </c>
      <c r="H49" t="s">
        <v>107</v>
      </c>
      <c r="I49">
        <f>I47*J49</f>
        <v>-98.372399999999999</v>
      </c>
      <c r="J49">
        <v>-41.16</v>
      </c>
      <c r="O49">
        <f t="shared" si="14"/>
        <v>-13044.97</v>
      </c>
      <c r="P49">
        <f t="shared" si="15"/>
        <v>-13044.97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28315699</v>
      </c>
      <c r="AB49">
        <f t="shared" si="25"/>
        <v>51.8</v>
      </c>
      <c r="AC49">
        <f t="shared" si="26"/>
        <v>51.8</v>
      </c>
      <c r="AD49">
        <f>ROUND((((ET49)-(EU49))+AE49),6)</f>
        <v>0</v>
      </c>
      <c r="AE49">
        <f t="shared" si="57"/>
        <v>0</v>
      </c>
      <c r="AF49">
        <f t="shared" si="57"/>
        <v>0</v>
      </c>
      <c r="AG49">
        <f t="shared" si="29"/>
        <v>0</v>
      </c>
      <c r="AH49">
        <f t="shared" si="58"/>
        <v>0</v>
      </c>
      <c r="AI49">
        <f t="shared" si="58"/>
        <v>0</v>
      </c>
      <c r="AJ49">
        <f t="shared" si="31"/>
        <v>0</v>
      </c>
      <c r="AK49">
        <v>51.8</v>
      </c>
      <c r="AL49">
        <v>51.8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85</v>
      </c>
      <c r="AU49">
        <v>48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2.56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112</v>
      </c>
      <c r="BM49">
        <v>26001</v>
      </c>
      <c r="BN49">
        <v>0</v>
      </c>
      <c r="BO49" t="s">
        <v>110</v>
      </c>
      <c r="BP49">
        <v>1</v>
      </c>
      <c r="BQ49">
        <v>2</v>
      </c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100</v>
      </c>
      <c r="CA49">
        <v>70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2"/>
        <v>-13044.97</v>
      </c>
      <c r="CQ49">
        <f t="shared" si="33"/>
        <v>132.608</v>
      </c>
      <c r="CR49">
        <f t="shared" si="34"/>
        <v>0</v>
      </c>
      <c r="CS49">
        <f t="shared" si="35"/>
        <v>0</v>
      </c>
      <c r="CT49">
        <f t="shared" si="36"/>
        <v>0</v>
      </c>
      <c r="CU49">
        <f t="shared" si="37"/>
        <v>0</v>
      </c>
      <c r="CV49">
        <f t="shared" si="38"/>
        <v>0</v>
      </c>
      <c r="CW49">
        <f t="shared" si="39"/>
        <v>0</v>
      </c>
      <c r="CX49">
        <f t="shared" si="40"/>
        <v>0</v>
      </c>
      <c r="CY49">
        <f t="shared" si="41"/>
        <v>0</v>
      </c>
      <c r="CZ49">
        <f t="shared" si="42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107</v>
      </c>
      <c r="DW49" t="s">
        <v>107</v>
      </c>
      <c r="DX49">
        <v>1</v>
      </c>
      <c r="EE49">
        <v>27463166</v>
      </c>
      <c r="EF49">
        <v>2</v>
      </c>
      <c r="EG49" t="s">
        <v>37</v>
      </c>
      <c r="EH49">
        <v>0</v>
      </c>
      <c r="EI49" t="s">
        <v>6</v>
      </c>
      <c r="EJ49">
        <v>1</v>
      </c>
      <c r="EK49">
        <v>26001</v>
      </c>
      <c r="EL49" t="s">
        <v>102</v>
      </c>
      <c r="EM49" t="s">
        <v>103</v>
      </c>
      <c r="EO49" t="s">
        <v>6</v>
      </c>
      <c r="EQ49">
        <v>32768</v>
      </c>
      <c r="ER49">
        <v>51.8</v>
      </c>
      <c r="ES49">
        <v>51.8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3"/>
        <v>0</v>
      </c>
      <c r="FS49">
        <v>0</v>
      </c>
      <c r="FU49" t="s">
        <v>25</v>
      </c>
      <c r="FV49" t="s">
        <v>25</v>
      </c>
      <c r="FW49" t="s">
        <v>26</v>
      </c>
      <c r="FX49">
        <v>100</v>
      </c>
      <c r="FY49">
        <v>59.5</v>
      </c>
      <c r="GA49" t="s">
        <v>31</v>
      </c>
      <c r="GD49">
        <v>0</v>
      </c>
      <c r="GF49">
        <v>-286688287</v>
      </c>
      <c r="GG49">
        <v>2</v>
      </c>
      <c r="GH49">
        <v>1</v>
      </c>
      <c r="GI49">
        <v>2</v>
      </c>
      <c r="GJ49">
        <v>0</v>
      </c>
      <c r="GK49">
        <f>ROUND(R49*(R12)/100,2)</f>
        <v>0</v>
      </c>
      <c r="GL49">
        <f t="shared" si="44"/>
        <v>0</v>
      </c>
      <c r="GM49">
        <f t="shared" si="45"/>
        <v>-13044.97</v>
      </c>
      <c r="GN49">
        <f t="shared" si="46"/>
        <v>-13044.97</v>
      </c>
      <c r="GO49">
        <f t="shared" si="47"/>
        <v>0</v>
      </c>
      <c r="GP49">
        <f t="shared" si="48"/>
        <v>0</v>
      </c>
      <c r="GR49">
        <v>0</v>
      </c>
      <c r="GS49">
        <v>4</v>
      </c>
      <c r="GT49">
        <v>0</v>
      </c>
      <c r="GU49" t="s">
        <v>6</v>
      </c>
      <c r="GV49">
        <f t="shared" si="49"/>
        <v>0</v>
      </c>
      <c r="GW49">
        <v>1</v>
      </c>
      <c r="GX49">
        <f t="shared" si="50"/>
        <v>0</v>
      </c>
      <c r="HA49">
        <v>0</v>
      </c>
      <c r="HB49">
        <v>0</v>
      </c>
      <c r="IK49">
        <v>0</v>
      </c>
    </row>
    <row r="50" spans="1:245">
      <c r="A50">
        <v>18</v>
      </c>
      <c r="B50">
        <v>1</v>
      </c>
      <c r="C50">
        <v>74</v>
      </c>
      <c r="E50" t="s">
        <v>128</v>
      </c>
      <c r="F50" t="s">
        <v>114</v>
      </c>
      <c r="G50" t="s">
        <v>129</v>
      </c>
      <c r="H50" t="s">
        <v>107</v>
      </c>
      <c r="I50">
        <f>I47*J50</f>
        <v>2632.7399999999993</v>
      </c>
      <c r="J50">
        <v>1101.5648535564851</v>
      </c>
      <c r="O50">
        <f t="shared" si="14"/>
        <v>1729578.54</v>
      </c>
      <c r="P50">
        <f t="shared" si="15"/>
        <v>1729578.54</v>
      </c>
      <c r="Q50">
        <f t="shared" si="16"/>
        <v>0</v>
      </c>
      <c r="R50">
        <f t="shared" si="17"/>
        <v>0</v>
      </c>
      <c r="S50">
        <f t="shared" si="18"/>
        <v>0</v>
      </c>
      <c r="T50">
        <f t="shared" si="19"/>
        <v>0</v>
      </c>
      <c r="U50">
        <f t="shared" si="20"/>
        <v>0</v>
      </c>
      <c r="V50">
        <f t="shared" si="21"/>
        <v>0</v>
      </c>
      <c r="W50">
        <f t="shared" si="22"/>
        <v>0</v>
      </c>
      <c r="X50">
        <f t="shared" si="23"/>
        <v>0</v>
      </c>
      <c r="Y50">
        <f t="shared" si="24"/>
        <v>0</v>
      </c>
      <c r="AA50">
        <v>28315699</v>
      </c>
      <c r="AB50">
        <f t="shared" si="25"/>
        <v>656.95</v>
      </c>
      <c r="AC50">
        <f t="shared" si="26"/>
        <v>656.95</v>
      </c>
      <c r="AD50">
        <f>ROUND((((ET50)-(EU50))+AE50),6)</f>
        <v>0</v>
      </c>
      <c r="AE50">
        <f t="shared" si="57"/>
        <v>0</v>
      </c>
      <c r="AF50">
        <f t="shared" si="57"/>
        <v>0</v>
      </c>
      <c r="AG50">
        <f t="shared" si="29"/>
        <v>0</v>
      </c>
      <c r="AH50">
        <f t="shared" si="58"/>
        <v>0</v>
      </c>
      <c r="AI50">
        <f t="shared" si="58"/>
        <v>0</v>
      </c>
      <c r="AJ50">
        <f t="shared" si="31"/>
        <v>0</v>
      </c>
      <c r="AK50">
        <v>656.95</v>
      </c>
      <c r="AL50">
        <v>656.95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85</v>
      </c>
      <c r="AU50">
        <v>48</v>
      </c>
      <c r="AV50">
        <v>1</v>
      </c>
      <c r="AW50">
        <v>1</v>
      </c>
      <c r="AZ50">
        <v>1</v>
      </c>
      <c r="BA50">
        <v>1</v>
      </c>
      <c r="BB50">
        <v>1</v>
      </c>
      <c r="BC50">
        <v>1</v>
      </c>
      <c r="BD50" t="s">
        <v>6</v>
      </c>
      <c r="BE50" t="s">
        <v>6</v>
      </c>
      <c r="BF50" t="s">
        <v>6</v>
      </c>
      <c r="BG50" t="s">
        <v>6</v>
      </c>
      <c r="BH50">
        <v>3</v>
      </c>
      <c r="BI50">
        <v>1</v>
      </c>
      <c r="BJ50" t="s">
        <v>6</v>
      </c>
      <c r="BM50">
        <v>26001</v>
      </c>
      <c r="BN50">
        <v>0</v>
      </c>
      <c r="BO50" t="s">
        <v>6</v>
      </c>
      <c r="BP50">
        <v>0</v>
      </c>
      <c r="BQ50">
        <v>2</v>
      </c>
      <c r="BR50">
        <v>0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 t="s">
        <v>6</v>
      </c>
      <c r="BZ50">
        <v>100</v>
      </c>
      <c r="CA50">
        <v>70</v>
      </c>
      <c r="CF50">
        <v>0</v>
      </c>
      <c r="CG50">
        <v>0</v>
      </c>
      <c r="CM50">
        <v>0</v>
      </c>
      <c r="CN50" t="s">
        <v>6</v>
      </c>
      <c r="CO50">
        <v>0</v>
      </c>
      <c r="CP50">
        <f t="shared" si="32"/>
        <v>1729578.54</v>
      </c>
      <c r="CQ50">
        <f t="shared" si="33"/>
        <v>656.95</v>
      </c>
      <c r="CR50">
        <f t="shared" si="34"/>
        <v>0</v>
      </c>
      <c r="CS50">
        <f t="shared" si="35"/>
        <v>0</v>
      </c>
      <c r="CT50">
        <f t="shared" si="36"/>
        <v>0</v>
      </c>
      <c r="CU50">
        <f t="shared" si="37"/>
        <v>0</v>
      </c>
      <c r="CV50">
        <f t="shared" si="38"/>
        <v>0</v>
      </c>
      <c r="CW50">
        <f t="shared" si="39"/>
        <v>0</v>
      </c>
      <c r="CX50">
        <f t="shared" si="40"/>
        <v>0</v>
      </c>
      <c r="CY50">
        <f t="shared" si="41"/>
        <v>0</v>
      </c>
      <c r="CZ50">
        <f t="shared" si="42"/>
        <v>0</v>
      </c>
      <c r="DC50" t="s">
        <v>6</v>
      </c>
      <c r="DD50" t="s">
        <v>6</v>
      </c>
      <c r="DE50" t="s">
        <v>6</v>
      </c>
      <c r="DF50" t="s">
        <v>6</v>
      </c>
      <c r="DG50" t="s">
        <v>6</v>
      </c>
      <c r="DH50" t="s">
        <v>6</v>
      </c>
      <c r="DI50" t="s">
        <v>6</v>
      </c>
      <c r="DJ50" t="s">
        <v>6</v>
      </c>
      <c r="DK50" t="s">
        <v>6</v>
      </c>
      <c r="DL50" t="s">
        <v>6</v>
      </c>
      <c r="DM50" t="s">
        <v>6</v>
      </c>
      <c r="DN50">
        <v>0</v>
      </c>
      <c r="DO50">
        <v>0</v>
      </c>
      <c r="DP50">
        <v>1</v>
      </c>
      <c r="DQ50">
        <v>1</v>
      </c>
      <c r="DU50">
        <v>1009</v>
      </c>
      <c r="DV50" t="s">
        <v>107</v>
      </c>
      <c r="DW50" t="s">
        <v>107</v>
      </c>
      <c r="DX50">
        <v>1</v>
      </c>
      <c r="EE50">
        <v>27463166</v>
      </c>
      <c r="EF50">
        <v>2</v>
      </c>
      <c r="EG50" t="s">
        <v>37</v>
      </c>
      <c r="EH50">
        <v>0</v>
      </c>
      <c r="EI50" t="s">
        <v>6</v>
      </c>
      <c r="EJ50">
        <v>1</v>
      </c>
      <c r="EK50">
        <v>26001</v>
      </c>
      <c r="EL50" t="s">
        <v>102</v>
      </c>
      <c r="EM50" t="s">
        <v>103</v>
      </c>
      <c r="EO50" t="s">
        <v>6</v>
      </c>
      <c r="EQ50">
        <v>0</v>
      </c>
      <c r="ER50">
        <v>656.95</v>
      </c>
      <c r="ES50">
        <v>656.95</v>
      </c>
      <c r="ET50">
        <v>0</v>
      </c>
      <c r="EU50">
        <v>0</v>
      </c>
      <c r="EV50">
        <v>0</v>
      </c>
      <c r="EW50">
        <v>0</v>
      </c>
      <c r="EX50">
        <v>0</v>
      </c>
      <c r="EZ50">
        <v>5</v>
      </c>
      <c r="FC50">
        <v>1</v>
      </c>
      <c r="FD50">
        <v>18</v>
      </c>
      <c r="FF50">
        <v>760</v>
      </c>
      <c r="FQ50">
        <v>0</v>
      </c>
      <c r="FR50">
        <f t="shared" si="43"/>
        <v>0</v>
      </c>
      <c r="FS50">
        <v>0</v>
      </c>
      <c r="FU50" t="s">
        <v>25</v>
      </c>
      <c r="FV50" t="s">
        <v>25</v>
      </c>
      <c r="FW50" t="s">
        <v>26</v>
      </c>
      <c r="FX50">
        <v>100</v>
      </c>
      <c r="FY50">
        <v>59.5</v>
      </c>
      <c r="GA50" t="s">
        <v>130</v>
      </c>
      <c r="GD50">
        <v>0</v>
      </c>
      <c r="GF50">
        <v>-405287729</v>
      </c>
      <c r="GG50">
        <v>2</v>
      </c>
      <c r="GH50">
        <v>3</v>
      </c>
      <c r="GI50">
        <v>-2</v>
      </c>
      <c r="GJ50">
        <v>0</v>
      </c>
      <c r="GK50">
        <f>ROUND(R50*(R12)/100,2)</f>
        <v>0</v>
      </c>
      <c r="GL50">
        <f t="shared" si="44"/>
        <v>0</v>
      </c>
      <c r="GM50">
        <f t="shared" si="45"/>
        <v>1729578.54</v>
      </c>
      <c r="GN50">
        <f t="shared" si="46"/>
        <v>1729578.54</v>
      </c>
      <c r="GO50">
        <f t="shared" si="47"/>
        <v>0</v>
      </c>
      <c r="GP50">
        <f t="shared" si="48"/>
        <v>0</v>
      </c>
      <c r="GR50">
        <v>1</v>
      </c>
      <c r="GS50">
        <v>1</v>
      </c>
      <c r="GT50">
        <v>0</v>
      </c>
      <c r="GU50" t="s">
        <v>6</v>
      </c>
      <c r="GV50">
        <f t="shared" si="49"/>
        <v>0</v>
      </c>
      <c r="GW50">
        <v>1</v>
      </c>
      <c r="GX50">
        <f t="shared" si="50"/>
        <v>0</v>
      </c>
      <c r="HA50">
        <v>0</v>
      </c>
      <c r="HB50">
        <v>0</v>
      </c>
      <c r="IK50">
        <v>0</v>
      </c>
    </row>
    <row r="51" spans="1:245">
      <c r="A51">
        <v>17</v>
      </c>
      <c r="B51">
        <v>1</v>
      </c>
      <c r="C51">
        <f>ROW(SmtRes!A76)</f>
        <v>76</v>
      </c>
      <c r="D51">
        <f>ROW(EtalonRes!A74)</f>
        <v>74</v>
      </c>
      <c r="E51" t="s">
        <v>131</v>
      </c>
      <c r="F51" t="s">
        <v>132</v>
      </c>
      <c r="G51" t="s">
        <v>133</v>
      </c>
      <c r="H51" t="s">
        <v>90</v>
      </c>
      <c r="I51">
        <v>16</v>
      </c>
      <c r="J51">
        <v>0</v>
      </c>
      <c r="O51">
        <f t="shared" si="14"/>
        <v>824.13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824.13</v>
      </c>
      <c r="T51">
        <f t="shared" si="19"/>
        <v>0</v>
      </c>
      <c r="U51">
        <f t="shared" si="20"/>
        <v>3.3119999999999998</v>
      </c>
      <c r="V51">
        <f t="shared" si="21"/>
        <v>0</v>
      </c>
      <c r="W51">
        <f t="shared" si="22"/>
        <v>0</v>
      </c>
      <c r="X51">
        <f t="shared" si="23"/>
        <v>840.61</v>
      </c>
      <c r="Y51">
        <f t="shared" si="24"/>
        <v>362.62</v>
      </c>
      <c r="AA51">
        <v>28315699</v>
      </c>
      <c r="AB51">
        <f t="shared" si="25"/>
        <v>1.9895</v>
      </c>
      <c r="AC51">
        <f t="shared" si="26"/>
        <v>0</v>
      </c>
      <c r="AD51">
        <f>ROUND(((((ET51*1.25))-((EU51*1.25)))+AE51),6)</f>
        <v>0</v>
      </c>
      <c r="AE51">
        <f>ROUND(((EU51*1.25)),6)</f>
        <v>0</v>
      </c>
      <c r="AF51">
        <f>ROUND(((EV51*1.15)),6)</f>
        <v>1.9895</v>
      </c>
      <c r="AG51">
        <f t="shared" si="29"/>
        <v>0</v>
      </c>
      <c r="AH51">
        <f>((EW51*1.15))</f>
        <v>0.20699999999999999</v>
      </c>
      <c r="AI51">
        <f>((EX51*1.25))</f>
        <v>0</v>
      </c>
      <c r="AJ51">
        <f t="shared" si="31"/>
        <v>0</v>
      </c>
      <c r="AK51">
        <v>1.73</v>
      </c>
      <c r="AL51">
        <v>0</v>
      </c>
      <c r="AM51">
        <v>0</v>
      </c>
      <c r="AN51">
        <v>0</v>
      </c>
      <c r="AO51">
        <v>1.73</v>
      </c>
      <c r="AP51">
        <v>0</v>
      </c>
      <c r="AQ51">
        <v>0.18</v>
      </c>
      <c r="AR51">
        <v>0</v>
      </c>
      <c r="AS51">
        <v>0</v>
      </c>
      <c r="AT51">
        <v>102</v>
      </c>
      <c r="AU51">
        <v>44</v>
      </c>
      <c r="AV51">
        <v>1</v>
      </c>
      <c r="AW51">
        <v>1</v>
      </c>
      <c r="AZ51">
        <v>1</v>
      </c>
      <c r="BA51">
        <v>25.89</v>
      </c>
      <c r="BB51">
        <v>1</v>
      </c>
      <c r="BC51">
        <v>1</v>
      </c>
      <c r="BD51" t="s">
        <v>6</v>
      </c>
      <c r="BE51" t="s">
        <v>6</v>
      </c>
      <c r="BF51" t="s">
        <v>6</v>
      </c>
      <c r="BG51" t="s">
        <v>6</v>
      </c>
      <c r="BH51">
        <v>0</v>
      </c>
      <c r="BI51">
        <v>1</v>
      </c>
      <c r="BJ51" t="s">
        <v>134</v>
      </c>
      <c r="BM51">
        <v>12001</v>
      </c>
      <c r="BN51">
        <v>0</v>
      </c>
      <c r="BO51" t="s">
        <v>132</v>
      </c>
      <c r="BP51">
        <v>1</v>
      </c>
      <c r="BQ51">
        <v>2</v>
      </c>
      <c r="BR51">
        <v>0</v>
      </c>
      <c r="BS51">
        <v>25.89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120</v>
      </c>
      <c r="CA51">
        <v>65</v>
      </c>
      <c r="CF51">
        <v>0</v>
      </c>
      <c r="CG51">
        <v>0</v>
      </c>
      <c r="CM51">
        <v>0</v>
      </c>
      <c r="CN51" t="s">
        <v>54</v>
      </c>
      <c r="CO51">
        <v>0</v>
      </c>
      <c r="CP51">
        <f t="shared" si="32"/>
        <v>824.13</v>
      </c>
      <c r="CQ51">
        <f t="shared" si="33"/>
        <v>0</v>
      </c>
      <c r="CR51">
        <f t="shared" si="34"/>
        <v>0</v>
      </c>
      <c r="CS51">
        <f t="shared" si="35"/>
        <v>0</v>
      </c>
      <c r="CT51">
        <f t="shared" si="36"/>
        <v>51.508155000000002</v>
      </c>
      <c r="CU51">
        <f t="shared" si="37"/>
        <v>0</v>
      </c>
      <c r="CV51">
        <f t="shared" si="38"/>
        <v>0.20699999999999999</v>
      </c>
      <c r="CW51">
        <f t="shared" si="39"/>
        <v>0</v>
      </c>
      <c r="CX51">
        <f t="shared" si="40"/>
        <v>0</v>
      </c>
      <c r="CY51">
        <f t="shared" si="41"/>
        <v>840.61259999999993</v>
      </c>
      <c r="CZ51">
        <f t="shared" si="42"/>
        <v>362.61720000000003</v>
      </c>
      <c r="DC51" t="s">
        <v>6</v>
      </c>
      <c r="DD51" t="s">
        <v>6</v>
      </c>
      <c r="DE51" t="s">
        <v>55</v>
      </c>
      <c r="DF51" t="s">
        <v>55</v>
      </c>
      <c r="DG51" t="s">
        <v>56</v>
      </c>
      <c r="DH51" t="s">
        <v>6</v>
      </c>
      <c r="DI51" t="s">
        <v>56</v>
      </c>
      <c r="DJ51" t="s">
        <v>55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90</v>
      </c>
      <c r="DW51" t="s">
        <v>90</v>
      </c>
      <c r="DX51">
        <v>1</v>
      </c>
      <c r="EE51">
        <v>27463134</v>
      </c>
      <c r="EF51">
        <v>2</v>
      </c>
      <c r="EG51" t="s">
        <v>37</v>
      </c>
      <c r="EH51">
        <v>0</v>
      </c>
      <c r="EI51" t="s">
        <v>6</v>
      </c>
      <c r="EJ51">
        <v>1</v>
      </c>
      <c r="EK51">
        <v>12001</v>
      </c>
      <c r="EL51" t="s">
        <v>135</v>
      </c>
      <c r="EM51" t="s">
        <v>136</v>
      </c>
      <c r="EO51" t="s">
        <v>59</v>
      </c>
      <c r="EQ51">
        <v>0</v>
      </c>
      <c r="ER51">
        <v>1.73</v>
      </c>
      <c r="ES51">
        <v>0</v>
      </c>
      <c r="ET51">
        <v>0</v>
      </c>
      <c r="EU51">
        <v>0</v>
      </c>
      <c r="EV51">
        <v>1.73</v>
      </c>
      <c r="EW51">
        <v>0.18</v>
      </c>
      <c r="EX51">
        <v>0</v>
      </c>
      <c r="EY51">
        <v>0</v>
      </c>
      <c r="FQ51">
        <v>0</v>
      </c>
      <c r="FR51">
        <f t="shared" si="43"/>
        <v>0</v>
      </c>
      <c r="FS51">
        <v>0</v>
      </c>
      <c r="FU51" t="s">
        <v>25</v>
      </c>
      <c r="FV51" t="s">
        <v>25</v>
      </c>
      <c r="FW51" t="s">
        <v>26</v>
      </c>
      <c r="FX51">
        <v>120</v>
      </c>
      <c r="FY51">
        <v>55.25</v>
      </c>
      <c r="GA51" t="s">
        <v>6</v>
      </c>
      <c r="GD51">
        <v>0</v>
      </c>
      <c r="GF51">
        <v>-1990244045</v>
      </c>
      <c r="GG51">
        <v>2</v>
      </c>
      <c r="GH51">
        <v>1</v>
      </c>
      <c r="GI51">
        <v>2</v>
      </c>
      <c r="GJ51">
        <v>0</v>
      </c>
      <c r="GK51">
        <f>ROUND(R51*(R12)/100,2)</f>
        <v>0</v>
      </c>
      <c r="GL51">
        <f t="shared" si="44"/>
        <v>0</v>
      </c>
      <c r="GM51">
        <f t="shared" si="45"/>
        <v>2027.36</v>
      </c>
      <c r="GN51">
        <f t="shared" si="46"/>
        <v>2027.36</v>
      </c>
      <c r="GO51">
        <f t="shared" si="47"/>
        <v>0</v>
      </c>
      <c r="GP51">
        <f t="shared" si="48"/>
        <v>0</v>
      </c>
      <c r="GR51">
        <v>0</v>
      </c>
      <c r="GS51">
        <v>3</v>
      </c>
      <c r="GT51">
        <v>0</v>
      </c>
      <c r="GU51" t="s">
        <v>6</v>
      </c>
      <c r="GV51">
        <f t="shared" si="49"/>
        <v>0</v>
      </c>
      <c r="GW51">
        <v>1</v>
      </c>
      <c r="GX51">
        <f t="shared" si="50"/>
        <v>0</v>
      </c>
      <c r="HA51">
        <v>0</v>
      </c>
      <c r="HB51">
        <v>0</v>
      </c>
      <c r="IK51">
        <v>0</v>
      </c>
    </row>
    <row r="52" spans="1:245">
      <c r="A52">
        <v>18</v>
      </c>
      <c r="B52">
        <v>1</v>
      </c>
      <c r="C52">
        <v>76</v>
      </c>
      <c r="E52" t="s">
        <v>137</v>
      </c>
      <c r="F52" t="s">
        <v>138</v>
      </c>
      <c r="G52" t="s">
        <v>139</v>
      </c>
      <c r="H52" t="s">
        <v>90</v>
      </c>
      <c r="I52">
        <f>I51*J52</f>
        <v>16</v>
      </c>
      <c r="J52">
        <v>1</v>
      </c>
      <c r="O52">
        <f t="shared" si="14"/>
        <v>4957.54</v>
      </c>
      <c r="P52">
        <f t="shared" si="15"/>
        <v>4957.54</v>
      </c>
      <c r="Q52">
        <f t="shared" si="16"/>
        <v>0</v>
      </c>
      <c r="R52">
        <f t="shared" si="17"/>
        <v>0</v>
      </c>
      <c r="S52">
        <f t="shared" si="18"/>
        <v>0</v>
      </c>
      <c r="T52">
        <f t="shared" si="19"/>
        <v>0</v>
      </c>
      <c r="U52">
        <f t="shared" si="20"/>
        <v>0</v>
      </c>
      <c r="V52">
        <f t="shared" si="21"/>
        <v>0</v>
      </c>
      <c r="W52">
        <f t="shared" si="22"/>
        <v>0</v>
      </c>
      <c r="X52">
        <f t="shared" si="23"/>
        <v>0</v>
      </c>
      <c r="Y52">
        <f t="shared" si="24"/>
        <v>0</v>
      </c>
      <c r="AA52">
        <v>28315699</v>
      </c>
      <c r="AB52">
        <f t="shared" si="25"/>
        <v>67.8</v>
      </c>
      <c r="AC52">
        <f t="shared" si="26"/>
        <v>67.8</v>
      </c>
      <c r="AD52">
        <f>ROUND((((ET52)-(EU52))+AE52),6)</f>
        <v>0</v>
      </c>
      <c r="AE52">
        <f>ROUND((EU52),6)</f>
        <v>0</v>
      </c>
      <c r="AF52">
        <f>ROUND((EV52),6)</f>
        <v>0</v>
      </c>
      <c r="AG52">
        <f t="shared" si="29"/>
        <v>0</v>
      </c>
      <c r="AH52">
        <f>(EW52)</f>
        <v>0</v>
      </c>
      <c r="AI52">
        <f>(EX52)</f>
        <v>0</v>
      </c>
      <c r="AJ52">
        <f t="shared" si="31"/>
        <v>0</v>
      </c>
      <c r="AK52">
        <v>67.8</v>
      </c>
      <c r="AL52">
        <v>67.8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102</v>
      </c>
      <c r="AU52">
        <v>44</v>
      </c>
      <c r="AV52">
        <v>1</v>
      </c>
      <c r="AW52">
        <v>1</v>
      </c>
      <c r="AZ52">
        <v>1</v>
      </c>
      <c r="BA52">
        <v>1</v>
      </c>
      <c r="BB52">
        <v>1</v>
      </c>
      <c r="BC52">
        <v>4.57</v>
      </c>
      <c r="BD52" t="s">
        <v>6</v>
      </c>
      <c r="BE52" t="s">
        <v>6</v>
      </c>
      <c r="BF52" t="s">
        <v>6</v>
      </c>
      <c r="BG52" t="s">
        <v>6</v>
      </c>
      <c r="BH52">
        <v>3</v>
      </c>
      <c r="BI52">
        <v>1</v>
      </c>
      <c r="BJ52" t="s">
        <v>140</v>
      </c>
      <c r="BM52">
        <v>12001</v>
      </c>
      <c r="BN52">
        <v>0</v>
      </c>
      <c r="BO52" t="s">
        <v>138</v>
      </c>
      <c r="BP52">
        <v>1</v>
      </c>
      <c r="BQ52">
        <v>2</v>
      </c>
      <c r="BR52">
        <v>0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 t="s">
        <v>6</v>
      </c>
      <c r="BZ52">
        <v>120</v>
      </c>
      <c r="CA52">
        <v>65</v>
      </c>
      <c r="CF52">
        <v>0</v>
      </c>
      <c r="CG52">
        <v>0</v>
      </c>
      <c r="CM52">
        <v>0</v>
      </c>
      <c r="CN52" t="s">
        <v>6</v>
      </c>
      <c r="CO52">
        <v>0</v>
      </c>
      <c r="CP52">
        <f t="shared" si="32"/>
        <v>4957.54</v>
      </c>
      <c r="CQ52">
        <f t="shared" si="33"/>
        <v>309.846</v>
      </c>
      <c r="CR52">
        <f t="shared" si="34"/>
        <v>0</v>
      </c>
      <c r="CS52">
        <f t="shared" si="35"/>
        <v>0</v>
      </c>
      <c r="CT52">
        <f t="shared" si="36"/>
        <v>0</v>
      </c>
      <c r="CU52">
        <f t="shared" si="37"/>
        <v>0</v>
      </c>
      <c r="CV52">
        <f t="shared" si="38"/>
        <v>0</v>
      </c>
      <c r="CW52">
        <f t="shared" si="39"/>
        <v>0</v>
      </c>
      <c r="CX52">
        <f t="shared" si="40"/>
        <v>0</v>
      </c>
      <c r="CY52">
        <f t="shared" si="41"/>
        <v>0</v>
      </c>
      <c r="CZ52">
        <f t="shared" si="42"/>
        <v>0</v>
      </c>
      <c r="DC52" t="s">
        <v>6</v>
      </c>
      <c r="DD52" t="s">
        <v>6</v>
      </c>
      <c r="DE52" t="s">
        <v>6</v>
      </c>
      <c r="DF52" t="s">
        <v>6</v>
      </c>
      <c r="DG52" t="s">
        <v>6</v>
      </c>
      <c r="DH52" t="s">
        <v>6</v>
      </c>
      <c r="DI52" t="s">
        <v>6</v>
      </c>
      <c r="DJ52" t="s">
        <v>6</v>
      </c>
      <c r="DK52" t="s">
        <v>6</v>
      </c>
      <c r="DL52" t="s">
        <v>6</v>
      </c>
      <c r="DM52" t="s">
        <v>6</v>
      </c>
      <c r="DN52">
        <v>0</v>
      </c>
      <c r="DO52">
        <v>0</v>
      </c>
      <c r="DP52">
        <v>1</v>
      </c>
      <c r="DQ52">
        <v>1</v>
      </c>
      <c r="DU52">
        <v>1010</v>
      </c>
      <c r="DV52" t="s">
        <v>90</v>
      </c>
      <c r="DW52" t="s">
        <v>90</v>
      </c>
      <c r="DX52">
        <v>1</v>
      </c>
      <c r="EE52">
        <v>27463134</v>
      </c>
      <c r="EF52">
        <v>2</v>
      </c>
      <c r="EG52" t="s">
        <v>37</v>
      </c>
      <c r="EH52">
        <v>0</v>
      </c>
      <c r="EI52" t="s">
        <v>6</v>
      </c>
      <c r="EJ52">
        <v>1</v>
      </c>
      <c r="EK52">
        <v>12001</v>
      </c>
      <c r="EL52" t="s">
        <v>135</v>
      </c>
      <c r="EM52" t="s">
        <v>136</v>
      </c>
      <c r="EO52" t="s">
        <v>6</v>
      </c>
      <c r="EQ52">
        <v>0</v>
      </c>
      <c r="ER52">
        <v>67.8</v>
      </c>
      <c r="ES52">
        <v>67.8</v>
      </c>
      <c r="ET52">
        <v>0</v>
      </c>
      <c r="EU52">
        <v>0</v>
      </c>
      <c r="EV52">
        <v>0</v>
      </c>
      <c r="EW52">
        <v>0</v>
      </c>
      <c r="EX52">
        <v>0</v>
      </c>
      <c r="FQ52">
        <v>0</v>
      </c>
      <c r="FR52">
        <f t="shared" si="43"/>
        <v>0</v>
      </c>
      <c r="FS52">
        <v>0</v>
      </c>
      <c r="FU52" t="s">
        <v>25</v>
      </c>
      <c r="FV52" t="s">
        <v>25</v>
      </c>
      <c r="FW52" t="s">
        <v>26</v>
      </c>
      <c r="FX52">
        <v>120</v>
      </c>
      <c r="FY52">
        <v>55.25</v>
      </c>
      <c r="GA52" t="s">
        <v>6</v>
      </c>
      <c r="GD52">
        <v>0</v>
      </c>
      <c r="GF52">
        <v>-1220772134</v>
      </c>
      <c r="GG52">
        <v>2</v>
      </c>
      <c r="GH52">
        <v>1</v>
      </c>
      <c r="GI52">
        <v>2</v>
      </c>
      <c r="GJ52">
        <v>0</v>
      </c>
      <c r="GK52">
        <f>ROUND(R52*(R12)/100,2)</f>
        <v>0</v>
      </c>
      <c r="GL52">
        <f t="shared" si="44"/>
        <v>0</v>
      </c>
      <c r="GM52">
        <f t="shared" si="45"/>
        <v>4957.54</v>
      </c>
      <c r="GN52">
        <f t="shared" si="46"/>
        <v>4957.54</v>
      </c>
      <c r="GO52">
        <f t="shared" si="47"/>
        <v>0</v>
      </c>
      <c r="GP52">
        <f t="shared" si="48"/>
        <v>0</v>
      </c>
      <c r="GR52">
        <v>0</v>
      </c>
      <c r="GS52">
        <v>3</v>
      </c>
      <c r="GT52">
        <v>0</v>
      </c>
      <c r="GU52" t="s">
        <v>6</v>
      </c>
      <c r="GV52">
        <f t="shared" si="49"/>
        <v>0</v>
      </c>
      <c r="GW52">
        <v>1</v>
      </c>
      <c r="GX52">
        <f t="shared" si="50"/>
        <v>0</v>
      </c>
      <c r="HA52">
        <v>0</v>
      </c>
      <c r="HB52">
        <v>0</v>
      </c>
      <c r="IK52">
        <v>0</v>
      </c>
    </row>
    <row r="53" spans="1:245">
      <c r="A53">
        <v>17</v>
      </c>
      <c r="B53">
        <v>1</v>
      </c>
      <c r="C53">
        <f>ROW(SmtRes!A83)</f>
        <v>83</v>
      </c>
      <c r="D53">
        <f>ROW(EtalonRes!A81)</f>
        <v>81</v>
      </c>
      <c r="E53" t="s">
        <v>141</v>
      </c>
      <c r="F53" t="s">
        <v>142</v>
      </c>
      <c r="G53" t="s">
        <v>143</v>
      </c>
      <c r="H53" t="s">
        <v>35</v>
      </c>
      <c r="I53">
        <v>2.16</v>
      </c>
      <c r="J53">
        <v>0</v>
      </c>
      <c r="O53">
        <f t="shared" si="14"/>
        <v>150084.82</v>
      </c>
      <c r="P53">
        <f t="shared" si="15"/>
        <v>87760.69</v>
      </c>
      <c r="Q53">
        <f t="shared" si="16"/>
        <v>472.61</v>
      </c>
      <c r="R53">
        <f t="shared" si="17"/>
        <v>245.36</v>
      </c>
      <c r="S53">
        <f t="shared" si="18"/>
        <v>61851.519999999997</v>
      </c>
      <c r="T53">
        <f t="shared" si="19"/>
        <v>0</v>
      </c>
      <c r="U53">
        <f t="shared" si="20"/>
        <v>280.07100000000003</v>
      </c>
      <c r="V53">
        <f t="shared" si="21"/>
        <v>0.72900000000000009</v>
      </c>
      <c r="W53">
        <f t="shared" si="22"/>
        <v>0</v>
      </c>
      <c r="X53">
        <f t="shared" si="23"/>
        <v>63338.82</v>
      </c>
      <c r="Y53">
        <f t="shared" si="24"/>
        <v>27322.63</v>
      </c>
      <c r="AA53">
        <v>28315699</v>
      </c>
      <c r="AB53">
        <f t="shared" si="25"/>
        <v>10023.954</v>
      </c>
      <c r="AC53">
        <f t="shared" si="26"/>
        <v>8890.58</v>
      </c>
      <c r="AD53">
        <f>ROUND(((((ET53*1.25))-((EU53*1.25)))+AE53),6)</f>
        <v>27.35</v>
      </c>
      <c r="AE53">
        <f>ROUND(((EU53*1.25)),6)</f>
        <v>4.3875000000000002</v>
      </c>
      <c r="AF53">
        <f>ROUND(((EV53*1.15)),6)</f>
        <v>1106.0239999999999</v>
      </c>
      <c r="AG53">
        <f t="shared" si="29"/>
        <v>0</v>
      </c>
      <c r="AH53">
        <f>((EW53*1.15))</f>
        <v>129.66249999999999</v>
      </c>
      <c r="AI53">
        <f>((EX53*1.25))</f>
        <v>0.33750000000000002</v>
      </c>
      <c r="AJ53">
        <f t="shared" si="31"/>
        <v>0</v>
      </c>
      <c r="AK53">
        <v>9874.2199999999993</v>
      </c>
      <c r="AL53">
        <v>8890.58</v>
      </c>
      <c r="AM53">
        <v>21.88</v>
      </c>
      <c r="AN53">
        <v>3.51</v>
      </c>
      <c r="AO53">
        <v>961.76</v>
      </c>
      <c r="AP53">
        <v>0</v>
      </c>
      <c r="AQ53">
        <v>112.75</v>
      </c>
      <c r="AR53">
        <v>0.27</v>
      </c>
      <c r="AS53">
        <v>0</v>
      </c>
      <c r="AT53">
        <v>102</v>
      </c>
      <c r="AU53">
        <v>44</v>
      </c>
      <c r="AV53">
        <v>1</v>
      </c>
      <c r="AW53">
        <v>1</v>
      </c>
      <c r="AZ53">
        <v>1</v>
      </c>
      <c r="BA53">
        <v>25.89</v>
      </c>
      <c r="BB53">
        <v>8</v>
      </c>
      <c r="BC53">
        <v>4.57</v>
      </c>
      <c r="BD53" t="s">
        <v>6</v>
      </c>
      <c r="BE53" t="s">
        <v>6</v>
      </c>
      <c r="BF53" t="s">
        <v>6</v>
      </c>
      <c r="BG53" t="s">
        <v>6</v>
      </c>
      <c r="BH53">
        <v>0</v>
      </c>
      <c r="BI53">
        <v>1</v>
      </c>
      <c r="BJ53" t="s">
        <v>144</v>
      </c>
      <c r="BM53">
        <v>12001</v>
      </c>
      <c r="BN53">
        <v>0</v>
      </c>
      <c r="BO53" t="s">
        <v>142</v>
      </c>
      <c r="BP53">
        <v>1</v>
      </c>
      <c r="BQ53">
        <v>2</v>
      </c>
      <c r="BR53">
        <v>0</v>
      </c>
      <c r="BS53">
        <v>25.89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120</v>
      </c>
      <c r="CA53">
        <v>65</v>
      </c>
      <c r="CF53">
        <v>0</v>
      </c>
      <c r="CG53">
        <v>0</v>
      </c>
      <c r="CM53">
        <v>0</v>
      </c>
      <c r="CN53" t="s">
        <v>54</v>
      </c>
      <c r="CO53">
        <v>0</v>
      </c>
      <c r="CP53">
        <f t="shared" si="32"/>
        <v>150084.82</v>
      </c>
      <c r="CQ53">
        <f t="shared" si="33"/>
        <v>40629.950600000004</v>
      </c>
      <c r="CR53">
        <f t="shared" si="34"/>
        <v>218.8</v>
      </c>
      <c r="CS53">
        <f t="shared" si="35"/>
        <v>113.592375</v>
      </c>
      <c r="CT53">
        <f t="shared" si="36"/>
        <v>28634.961359999998</v>
      </c>
      <c r="CU53">
        <f t="shared" si="37"/>
        <v>0</v>
      </c>
      <c r="CV53">
        <f t="shared" si="38"/>
        <v>129.66249999999999</v>
      </c>
      <c r="CW53">
        <f t="shared" si="39"/>
        <v>0.33750000000000002</v>
      </c>
      <c r="CX53">
        <f t="shared" si="40"/>
        <v>0</v>
      </c>
      <c r="CY53">
        <f t="shared" si="41"/>
        <v>63338.817599999995</v>
      </c>
      <c r="CZ53">
        <f t="shared" si="42"/>
        <v>27322.627199999999</v>
      </c>
      <c r="DC53" t="s">
        <v>6</v>
      </c>
      <c r="DD53" t="s">
        <v>6</v>
      </c>
      <c r="DE53" t="s">
        <v>55</v>
      </c>
      <c r="DF53" t="s">
        <v>55</v>
      </c>
      <c r="DG53" t="s">
        <v>56</v>
      </c>
      <c r="DH53" t="s">
        <v>6</v>
      </c>
      <c r="DI53" t="s">
        <v>56</v>
      </c>
      <c r="DJ53" t="s">
        <v>55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35</v>
      </c>
      <c r="DW53" t="s">
        <v>35</v>
      </c>
      <c r="DX53">
        <v>100</v>
      </c>
      <c r="EE53">
        <v>27463134</v>
      </c>
      <c r="EF53">
        <v>2</v>
      </c>
      <c r="EG53" t="s">
        <v>37</v>
      </c>
      <c r="EH53">
        <v>0</v>
      </c>
      <c r="EI53" t="s">
        <v>6</v>
      </c>
      <c r="EJ53">
        <v>1</v>
      </c>
      <c r="EK53">
        <v>12001</v>
      </c>
      <c r="EL53" t="s">
        <v>135</v>
      </c>
      <c r="EM53" t="s">
        <v>136</v>
      </c>
      <c r="EO53" t="s">
        <v>59</v>
      </c>
      <c r="EQ53">
        <v>0</v>
      </c>
      <c r="ER53">
        <v>9874.2199999999993</v>
      </c>
      <c r="ES53">
        <v>8890.58</v>
      </c>
      <c r="ET53">
        <v>21.88</v>
      </c>
      <c r="EU53">
        <v>3.51</v>
      </c>
      <c r="EV53">
        <v>961.76</v>
      </c>
      <c r="EW53">
        <v>112.75</v>
      </c>
      <c r="EX53">
        <v>0.27</v>
      </c>
      <c r="EY53">
        <v>0</v>
      </c>
      <c r="FQ53">
        <v>0</v>
      </c>
      <c r="FR53">
        <f t="shared" si="43"/>
        <v>0</v>
      </c>
      <c r="FS53">
        <v>0</v>
      </c>
      <c r="FU53" t="s">
        <v>25</v>
      </c>
      <c r="FV53" t="s">
        <v>25</v>
      </c>
      <c r="FW53" t="s">
        <v>26</v>
      </c>
      <c r="FX53">
        <v>120</v>
      </c>
      <c r="FY53">
        <v>55.25</v>
      </c>
      <c r="GA53" t="s">
        <v>6</v>
      </c>
      <c r="GD53">
        <v>0</v>
      </c>
      <c r="GF53">
        <v>-559992138</v>
      </c>
      <c r="GG53">
        <v>2</v>
      </c>
      <c r="GH53">
        <v>1</v>
      </c>
      <c r="GI53">
        <v>2</v>
      </c>
      <c r="GJ53">
        <v>0</v>
      </c>
      <c r="GK53">
        <f>ROUND(R53*(R12)/100,2)</f>
        <v>0</v>
      </c>
      <c r="GL53">
        <f t="shared" si="44"/>
        <v>0</v>
      </c>
      <c r="GM53">
        <f t="shared" si="45"/>
        <v>240746.27</v>
      </c>
      <c r="GN53">
        <f t="shared" si="46"/>
        <v>240746.27</v>
      </c>
      <c r="GO53">
        <f t="shared" si="47"/>
        <v>0</v>
      </c>
      <c r="GP53">
        <f t="shared" si="48"/>
        <v>0</v>
      </c>
      <c r="GR53">
        <v>0</v>
      </c>
      <c r="GS53">
        <v>3</v>
      </c>
      <c r="GT53">
        <v>0</v>
      </c>
      <c r="GU53" t="s">
        <v>6</v>
      </c>
      <c r="GV53">
        <f t="shared" si="49"/>
        <v>0</v>
      </c>
      <c r="GW53">
        <v>1</v>
      </c>
      <c r="GX53">
        <f t="shared" si="50"/>
        <v>0</v>
      </c>
      <c r="HA53">
        <v>0</v>
      </c>
      <c r="HB53">
        <v>0</v>
      </c>
      <c r="IK53">
        <v>0</v>
      </c>
    </row>
    <row r="54" spans="1:245">
      <c r="A54">
        <v>17</v>
      </c>
      <c r="B54">
        <v>1</v>
      </c>
      <c r="C54">
        <f>ROW(SmtRes!A87)</f>
        <v>87</v>
      </c>
      <c r="D54">
        <f>ROW(EtalonRes!A86)</f>
        <v>86</v>
      </c>
      <c r="E54" t="s">
        <v>145</v>
      </c>
      <c r="F54" t="s">
        <v>146</v>
      </c>
      <c r="G54" t="s">
        <v>147</v>
      </c>
      <c r="H54" t="s">
        <v>20</v>
      </c>
      <c r="I54">
        <v>0.87</v>
      </c>
      <c r="J54">
        <v>0</v>
      </c>
      <c r="O54">
        <f t="shared" si="14"/>
        <v>1564.06</v>
      </c>
      <c r="P54">
        <f t="shared" si="15"/>
        <v>0</v>
      </c>
      <c r="Q54">
        <f t="shared" si="16"/>
        <v>6.05</v>
      </c>
      <c r="R54">
        <f t="shared" si="17"/>
        <v>2.7</v>
      </c>
      <c r="S54">
        <f t="shared" si="18"/>
        <v>1558.01</v>
      </c>
      <c r="T54">
        <f t="shared" si="19"/>
        <v>0</v>
      </c>
      <c r="U54">
        <f t="shared" si="20"/>
        <v>6.2553000000000001</v>
      </c>
      <c r="V54">
        <f t="shared" si="21"/>
        <v>8.6999999999999994E-3</v>
      </c>
      <c r="W54">
        <f t="shared" si="22"/>
        <v>0</v>
      </c>
      <c r="X54">
        <f t="shared" si="23"/>
        <v>1467.07</v>
      </c>
      <c r="Y54">
        <f t="shared" si="24"/>
        <v>749.14</v>
      </c>
      <c r="AA54">
        <v>28315699</v>
      </c>
      <c r="AB54">
        <f t="shared" si="25"/>
        <v>69.83</v>
      </c>
      <c r="AC54">
        <f t="shared" si="26"/>
        <v>0</v>
      </c>
      <c r="AD54">
        <f>ROUND((((ET54)-(EU54))+AE54),6)</f>
        <v>0.66</v>
      </c>
      <c r="AE54">
        <f>ROUND((EU54),6)</f>
        <v>0.12</v>
      </c>
      <c r="AF54">
        <f>ROUND((EV54),6)</f>
        <v>69.17</v>
      </c>
      <c r="AG54">
        <f t="shared" si="29"/>
        <v>0</v>
      </c>
      <c r="AH54">
        <f>(EW54)</f>
        <v>7.19</v>
      </c>
      <c r="AI54">
        <f>(EX54)</f>
        <v>0.01</v>
      </c>
      <c r="AJ54">
        <f t="shared" si="31"/>
        <v>0</v>
      </c>
      <c r="AK54">
        <v>69.83</v>
      </c>
      <c r="AL54">
        <v>0</v>
      </c>
      <c r="AM54">
        <v>0.66</v>
      </c>
      <c r="AN54">
        <v>0.12</v>
      </c>
      <c r="AO54">
        <v>69.17</v>
      </c>
      <c r="AP54">
        <v>0</v>
      </c>
      <c r="AQ54">
        <v>7.19</v>
      </c>
      <c r="AR54">
        <v>0.01</v>
      </c>
      <c r="AS54">
        <v>0</v>
      </c>
      <c r="AT54">
        <v>94</v>
      </c>
      <c r="AU54">
        <v>48</v>
      </c>
      <c r="AV54">
        <v>1</v>
      </c>
      <c r="AW54">
        <v>1</v>
      </c>
      <c r="AZ54">
        <v>1</v>
      </c>
      <c r="BA54">
        <v>25.89</v>
      </c>
      <c r="BB54">
        <v>10.54</v>
      </c>
      <c r="BC54">
        <v>1</v>
      </c>
      <c r="BD54" t="s">
        <v>6</v>
      </c>
      <c r="BE54" t="s">
        <v>6</v>
      </c>
      <c r="BF54" t="s">
        <v>6</v>
      </c>
      <c r="BG54" t="s">
        <v>6</v>
      </c>
      <c r="BH54">
        <v>0</v>
      </c>
      <c r="BI54">
        <v>1</v>
      </c>
      <c r="BJ54" t="s">
        <v>148</v>
      </c>
      <c r="BM54">
        <v>46001</v>
      </c>
      <c r="BN54">
        <v>0</v>
      </c>
      <c r="BO54" t="s">
        <v>146</v>
      </c>
      <c r="BP54">
        <v>1</v>
      </c>
      <c r="BQ54">
        <v>2</v>
      </c>
      <c r="BR54">
        <v>0</v>
      </c>
      <c r="BS54">
        <v>25.89</v>
      </c>
      <c r="BT54">
        <v>1</v>
      </c>
      <c r="BU54">
        <v>1</v>
      </c>
      <c r="BV54">
        <v>1</v>
      </c>
      <c r="BW54">
        <v>1</v>
      </c>
      <c r="BX54">
        <v>1</v>
      </c>
      <c r="BY54" t="s">
        <v>6</v>
      </c>
      <c r="BZ54">
        <v>110</v>
      </c>
      <c r="CA54">
        <v>70</v>
      </c>
      <c r="CF54">
        <v>0</v>
      </c>
      <c r="CG54">
        <v>0</v>
      </c>
      <c r="CM54">
        <v>0</v>
      </c>
      <c r="CN54" t="s">
        <v>6</v>
      </c>
      <c r="CO54">
        <v>0</v>
      </c>
      <c r="CP54">
        <f t="shared" si="32"/>
        <v>1564.06</v>
      </c>
      <c r="CQ54">
        <f t="shared" si="33"/>
        <v>0</v>
      </c>
      <c r="CR54">
        <f t="shared" si="34"/>
        <v>6.9563999999999995</v>
      </c>
      <c r="CS54">
        <f t="shared" si="35"/>
        <v>3.1067999999999998</v>
      </c>
      <c r="CT54">
        <f t="shared" si="36"/>
        <v>1790.8113000000001</v>
      </c>
      <c r="CU54">
        <f t="shared" si="37"/>
        <v>0</v>
      </c>
      <c r="CV54">
        <f t="shared" si="38"/>
        <v>7.19</v>
      </c>
      <c r="CW54">
        <f t="shared" si="39"/>
        <v>0.01</v>
      </c>
      <c r="CX54">
        <f t="shared" si="40"/>
        <v>0</v>
      </c>
      <c r="CY54">
        <f t="shared" si="41"/>
        <v>1467.0673999999999</v>
      </c>
      <c r="CZ54">
        <f t="shared" si="42"/>
        <v>749.14080000000001</v>
      </c>
      <c r="DC54" t="s">
        <v>6</v>
      </c>
      <c r="DD54" t="s">
        <v>6</v>
      </c>
      <c r="DE54" t="s">
        <v>6</v>
      </c>
      <c r="DF54" t="s">
        <v>6</v>
      </c>
      <c r="DG54" t="s">
        <v>6</v>
      </c>
      <c r="DH54" t="s">
        <v>6</v>
      </c>
      <c r="DI54" t="s">
        <v>6</v>
      </c>
      <c r="DJ54" t="s">
        <v>6</v>
      </c>
      <c r="DK54" t="s">
        <v>6</v>
      </c>
      <c r="DL54" t="s">
        <v>6</v>
      </c>
      <c r="DM54" t="s">
        <v>6</v>
      </c>
      <c r="DN54">
        <v>0</v>
      </c>
      <c r="DO54">
        <v>0</v>
      </c>
      <c r="DP54">
        <v>1</v>
      </c>
      <c r="DQ54">
        <v>1</v>
      </c>
      <c r="DU54">
        <v>1003</v>
      </c>
      <c r="DV54" t="s">
        <v>20</v>
      </c>
      <c r="DW54" t="s">
        <v>20</v>
      </c>
      <c r="DX54">
        <v>100</v>
      </c>
      <c r="EE54">
        <v>27463193</v>
      </c>
      <c r="EF54">
        <v>2</v>
      </c>
      <c r="EG54" t="s">
        <v>37</v>
      </c>
      <c r="EH54">
        <v>0</v>
      </c>
      <c r="EI54" t="s">
        <v>6</v>
      </c>
      <c r="EJ54">
        <v>1</v>
      </c>
      <c r="EK54">
        <v>46001</v>
      </c>
      <c r="EL54" t="s">
        <v>38</v>
      </c>
      <c r="EM54" t="s">
        <v>39</v>
      </c>
      <c r="EO54" t="s">
        <v>6</v>
      </c>
      <c r="EQ54">
        <v>0</v>
      </c>
      <c r="ER54">
        <v>69.83</v>
      </c>
      <c r="ES54">
        <v>0</v>
      </c>
      <c r="ET54">
        <v>0.66</v>
      </c>
      <c r="EU54">
        <v>0.12</v>
      </c>
      <c r="EV54">
        <v>69.17</v>
      </c>
      <c r="EW54">
        <v>7.19</v>
      </c>
      <c r="EX54">
        <v>0.01</v>
      </c>
      <c r="EY54">
        <v>0</v>
      </c>
      <c r="FQ54">
        <v>0</v>
      </c>
      <c r="FR54">
        <f t="shared" si="43"/>
        <v>0</v>
      </c>
      <c r="FS54">
        <v>0</v>
      </c>
      <c r="FU54" t="s">
        <v>25</v>
      </c>
      <c r="FV54" t="s">
        <v>25</v>
      </c>
      <c r="FW54" t="s">
        <v>26</v>
      </c>
      <c r="FX54">
        <v>110</v>
      </c>
      <c r="FY54">
        <v>59.5</v>
      </c>
      <c r="GA54" t="s">
        <v>6</v>
      </c>
      <c r="GD54">
        <v>0</v>
      </c>
      <c r="GF54">
        <v>-1899573912</v>
      </c>
      <c r="GG54">
        <v>2</v>
      </c>
      <c r="GH54">
        <v>1</v>
      </c>
      <c r="GI54">
        <v>2</v>
      </c>
      <c r="GJ54">
        <v>0</v>
      </c>
      <c r="GK54">
        <f>ROUND(R54*(R12)/100,2)</f>
        <v>0</v>
      </c>
      <c r="GL54">
        <f t="shared" si="44"/>
        <v>0</v>
      </c>
      <c r="GM54">
        <f t="shared" si="45"/>
        <v>3780.27</v>
      </c>
      <c r="GN54">
        <f t="shared" si="46"/>
        <v>3780.27</v>
      </c>
      <c r="GO54">
        <f t="shared" si="47"/>
        <v>0</v>
      </c>
      <c r="GP54">
        <f t="shared" si="48"/>
        <v>0</v>
      </c>
      <c r="GR54">
        <v>0</v>
      </c>
      <c r="GS54">
        <v>3</v>
      </c>
      <c r="GT54">
        <v>0</v>
      </c>
      <c r="GU54" t="s">
        <v>6</v>
      </c>
      <c r="GV54">
        <f t="shared" si="49"/>
        <v>0</v>
      </c>
      <c r="GW54">
        <v>1</v>
      </c>
      <c r="GX54">
        <f t="shared" si="50"/>
        <v>0</v>
      </c>
      <c r="HA54">
        <v>0</v>
      </c>
      <c r="HB54">
        <v>0</v>
      </c>
      <c r="IK54">
        <v>0</v>
      </c>
    </row>
    <row r="55" spans="1:245">
      <c r="A55">
        <v>18</v>
      </c>
      <c r="B55">
        <v>1</v>
      </c>
      <c r="C55">
        <v>87</v>
      </c>
      <c r="E55" t="s">
        <v>149</v>
      </c>
      <c r="F55" t="s">
        <v>150</v>
      </c>
      <c r="G55" t="s">
        <v>151</v>
      </c>
      <c r="H55" t="s">
        <v>107</v>
      </c>
      <c r="I55">
        <f>I54*J55</f>
        <v>16.965</v>
      </c>
      <c r="J55">
        <v>19.5</v>
      </c>
      <c r="O55">
        <f t="shared" si="14"/>
        <v>12584.13</v>
      </c>
      <c r="P55">
        <f t="shared" si="15"/>
        <v>12584.13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28315699</v>
      </c>
      <c r="AB55">
        <f t="shared" si="25"/>
        <v>90.13</v>
      </c>
      <c r="AC55">
        <f t="shared" si="26"/>
        <v>90.13</v>
      </c>
      <c r="AD55">
        <f>ROUND((((ET55)-(EU55))+AE55),6)</f>
        <v>0</v>
      </c>
      <c r="AE55">
        <f>ROUND((EU55),6)</f>
        <v>0</v>
      </c>
      <c r="AF55">
        <f>ROUND((EV55),6)</f>
        <v>0</v>
      </c>
      <c r="AG55">
        <f t="shared" si="29"/>
        <v>0</v>
      </c>
      <c r="AH55">
        <f>(EW55)</f>
        <v>0</v>
      </c>
      <c r="AI55">
        <f>(EX55)</f>
        <v>0</v>
      </c>
      <c r="AJ55">
        <f t="shared" si="31"/>
        <v>0</v>
      </c>
      <c r="AK55">
        <v>90.13</v>
      </c>
      <c r="AL55">
        <v>90.13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94</v>
      </c>
      <c r="AU55">
        <v>48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8.23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152</v>
      </c>
      <c r="BM55">
        <v>46001</v>
      </c>
      <c r="BN55">
        <v>0</v>
      </c>
      <c r="BO55" t="s">
        <v>150</v>
      </c>
      <c r="BP55">
        <v>1</v>
      </c>
      <c r="BQ55">
        <v>2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110</v>
      </c>
      <c r="CA55">
        <v>70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2"/>
        <v>12584.13</v>
      </c>
      <c r="CQ55">
        <f t="shared" si="33"/>
        <v>741.76990000000001</v>
      </c>
      <c r="CR55">
        <f t="shared" si="34"/>
        <v>0</v>
      </c>
      <c r="CS55">
        <f t="shared" si="35"/>
        <v>0</v>
      </c>
      <c r="CT55">
        <f t="shared" si="36"/>
        <v>0</v>
      </c>
      <c r="CU55">
        <f t="shared" si="37"/>
        <v>0</v>
      </c>
      <c r="CV55">
        <f t="shared" si="38"/>
        <v>0</v>
      </c>
      <c r="CW55">
        <f t="shared" si="39"/>
        <v>0</v>
      </c>
      <c r="CX55">
        <f t="shared" si="40"/>
        <v>0</v>
      </c>
      <c r="CY55">
        <f t="shared" si="41"/>
        <v>0</v>
      </c>
      <c r="CZ55">
        <f t="shared" si="42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1009</v>
      </c>
      <c r="DV55" t="s">
        <v>107</v>
      </c>
      <c r="DW55" t="s">
        <v>107</v>
      </c>
      <c r="DX55">
        <v>1</v>
      </c>
      <c r="EE55">
        <v>27463193</v>
      </c>
      <c r="EF55">
        <v>2</v>
      </c>
      <c r="EG55" t="s">
        <v>37</v>
      </c>
      <c r="EH55">
        <v>0</v>
      </c>
      <c r="EI55" t="s">
        <v>6</v>
      </c>
      <c r="EJ55">
        <v>1</v>
      </c>
      <c r="EK55">
        <v>46001</v>
      </c>
      <c r="EL55" t="s">
        <v>38</v>
      </c>
      <c r="EM55" t="s">
        <v>39</v>
      </c>
      <c r="EO55" t="s">
        <v>6</v>
      </c>
      <c r="EQ55">
        <v>0</v>
      </c>
      <c r="ER55">
        <v>90.13</v>
      </c>
      <c r="ES55">
        <v>90.13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3"/>
        <v>0</v>
      </c>
      <c r="FS55">
        <v>0</v>
      </c>
      <c r="FU55" t="s">
        <v>25</v>
      </c>
      <c r="FV55" t="s">
        <v>25</v>
      </c>
      <c r="FW55" t="s">
        <v>26</v>
      </c>
      <c r="FX55">
        <v>110</v>
      </c>
      <c r="FY55">
        <v>59.5</v>
      </c>
      <c r="GA55" t="s">
        <v>6</v>
      </c>
      <c r="GD55">
        <v>0</v>
      </c>
      <c r="GF55">
        <v>143409567</v>
      </c>
      <c r="GG55">
        <v>2</v>
      </c>
      <c r="GH55">
        <v>1</v>
      </c>
      <c r="GI55">
        <v>2</v>
      </c>
      <c r="GJ55">
        <v>0</v>
      </c>
      <c r="GK55">
        <f>ROUND(R55*(R12)/100,2)</f>
        <v>0</v>
      </c>
      <c r="GL55">
        <f t="shared" si="44"/>
        <v>0</v>
      </c>
      <c r="GM55">
        <f t="shared" si="45"/>
        <v>12584.13</v>
      </c>
      <c r="GN55">
        <f t="shared" si="46"/>
        <v>12584.13</v>
      </c>
      <c r="GO55">
        <f t="shared" si="47"/>
        <v>0</v>
      </c>
      <c r="GP55">
        <f t="shared" si="48"/>
        <v>0</v>
      </c>
      <c r="GR55">
        <v>0</v>
      </c>
      <c r="GS55">
        <v>3</v>
      </c>
      <c r="GT55">
        <v>0</v>
      </c>
      <c r="GU55" t="s">
        <v>6</v>
      </c>
      <c r="GV55">
        <f t="shared" si="49"/>
        <v>0</v>
      </c>
      <c r="GW55">
        <v>1</v>
      </c>
      <c r="GX55">
        <f t="shared" si="50"/>
        <v>0</v>
      </c>
      <c r="HA55">
        <v>0</v>
      </c>
      <c r="HB55">
        <v>0</v>
      </c>
      <c r="IK55">
        <v>0</v>
      </c>
    </row>
    <row r="56" spans="1:245">
      <c r="A56">
        <v>17</v>
      </c>
      <c r="B56">
        <v>1</v>
      </c>
      <c r="E56" t="s">
        <v>153</v>
      </c>
      <c r="F56" t="s">
        <v>154</v>
      </c>
      <c r="G56" t="s">
        <v>155</v>
      </c>
      <c r="H56" t="s">
        <v>156</v>
      </c>
      <c r="I56">
        <v>21</v>
      </c>
      <c r="J56">
        <v>0</v>
      </c>
      <c r="O56">
        <f>0</f>
        <v>0</v>
      </c>
      <c r="P56">
        <f>0</f>
        <v>0</v>
      </c>
      <c r="Q56">
        <f>0</f>
        <v>0</v>
      </c>
      <c r="R56">
        <f>0</f>
        <v>0</v>
      </c>
      <c r="S56">
        <f>0</f>
        <v>0</v>
      </c>
      <c r="T56">
        <f>0</f>
        <v>0</v>
      </c>
      <c r="U56">
        <f>0</f>
        <v>0</v>
      </c>
      <c r="V56">
        <f>0</f>
        <v>0</v>
      </c>
      <c r="W56">
        <f>0</f>
        <v>0</v>
      </c>
      <c r="X56">
        <f>0</f>
        <v>0</v>
      </c>
      <c r="Y56">
        <f>0</f>
        <v>0</v>
      </c>
      <c r="AA56">
        <v>28315699</v>
      </c>
      <c r="AB56">
        <f>ROUND((AK56),6)</f>
        <v>42.98</v>
      </c>
      <c r="AC56">
        <f>0</f>
        <v>0</v>
      </c>
      <c r="AD56">
        <f>0</f>
        <v>0</v>
      </c>
      <c r="AE56">
        <f>0</f>
        <v>0</v>
      </c>
      <c r="AF56">
        <f>0</f>
        <v>0</v>
      </c>
      <c r="AG56">
        <f>0</f>
        <v>0</v>
      </c>
      <c r="AH56">
        <f>0</f>
        <v>0</v>
      </c>
      <c r="AI56">
        <f>0</f>
        <v>0</v>
      </c>
      <c r="AJ56">
        <f>0</f>
        <v>0</v>
      </c>
      <c r="AK56">
        <v>42.98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1</v>
      </c>
      <c r="AW56">
        <v>1</v>
      </c>
      <c r="AZ56">
        <v>13.09</v>
      </c>
      <c r="BA56">
        <v>1</v>
      </c>
      <c r="BB56">
        <v>1</v>
      </c>
      <c r="BC56">
        <v>1</v>
      </c>
      <c r="BD56" t="s">
        <v>6</v>
      </c>
      <c r="BE56" t="s">
        <v>6</v>
      </c>
      <c r="BF56" t="s">
        <v>6</v>
      </c>
      <c r="BG56" t="s">
        <v>6</v>
      </c>
      <c r="BH56">
        <v>0</v>
      </c>
      <c r="BI56">
        <v>1</v>
      </c>
      <c r="BJ56" t="s">
        <v>157</v>
      </c>
      <c r="BM56">
        <v>700004</v>
      </c>
      <c r="BN56">
        <v>0</v>
      </c>
      <c r="BO56" t="s">
        <v>154</v>
      </c>
      <c r="BP56">
        <v>1</v>
      </c>
      <c r="BQ56">
        <v>19</v>
      </c>
      <c r="BR56">
        <v>0</v>
      </c>
      <c r="BS56">
        <v>1</v>
      </c>
      <c r="BT56">
        <v>1</v>
      </c>
      <c r="BU56">
        <v>1</v>
      </c>
      <c r="BV56">
        <v>1</v>
      </c>
      <c r="BW56">
        <v>1</v>
      </c>
      <c r="BX56">
        <v>1</v>
      </c>
      <c r="BY56" t="s">
        <v>6</v>
      </c>
      <c r="BZ56">
        <v>0</v>
      </c>
      <c r="CA56">
        <v>0</v>
      </c>
      <c r="CF56">
        <v>0</v>
      </c>
      <c r="CG56">
        <v>0</v>
      </c>
      <c r="CM56">
        <v>0</v>
      </c>
      <c r="CN56" t="s">
        <v>6</v>
      </c>
      <c r="CO56">
        <v>0</v>
      </c>
      <c r="CP56">
        <f>AB56*AZ56</f>
        <v>562.6081999999999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C56" t="s">
        <v>6</v>
      </c>
      <c r="DD56" t="s">
        <v>6</v>
      </c>
      <c r="DE56" t="s">
        <v>6</v>
      </c>
      <c r="DF56" t="s">
        <v>6</v>
      </c>
      <c r="DG56" t="s">
        <v>6</v>
      </c>
      <c r="DH56" t="s">
        <v>6</v>
      </c>
      <c r="DI56" t="s">
        <v>6</v>
      </c>
      <c r="DJ56" t="s">
        <v>6</v>
      </c>
      <c r="DK56" t="s">
        <v>6</v>
      </c>
      <c r="DL56" t="s">
        <v>6</v>
      </c>
      <c r="DM56" t="s">
        <v>6</v>
      </c>
      <c r="DN56">
        <v>0</v>
      </c>
      <c r="DO56">
        <v>0</v>
      </c>
      <c r="DP56">
        <v>1</v>
      </c>
      <c r="DQ56">
        <v>1</v>
      </c>
      <c r="DU56">
        <v>1013</v>
      </c>
      <c r="DV56" t="s">
        <v>156</v>
      </c>
      <c r="DW56" t="s">
        <v>156</v>
      </c>
      <c r="DX56">
        <v>1</v>
      </c>
      <c r="EE56">
        <v>27463318</v>
      </c>
      <c r="EF56">
        <v>19</v>
      </c>
      <c r="EG56" t="s">
        <v>158</v>
      </c>
      <c r="EH56">
        <v>0</v>
      </c>
      <c r="EI56" t="s">
        <v>6</v>
      </c>
      <c r="EJ56">
        <v>1</v>
      </c>
      <c r="EK56">
        <v>700004</v>
      </c>
      <c r="EL56" t="s">
        <v>159</v>
      </c>
      <c r="EM56" t="s">
        <v>160</v>
      </c>
      <c r="EO56" t="s">
        <v>6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FQ56">
        <v>0</v>
      </c>
      <c r="FR56">
        <f t="shared" si="43"/>
        <v>0</v>
      </c>
      <c r="FS56">
        <v>0</v>
      </c>
      <c r="FX56">
        <v>0</v>
      </c>
      <c r="FY56">
        <v>0</v>
      </c>
      <c r="GA56" t="s">
        <v>6</v>
      </c>
      <c r="GD56">
        <v>0</v>
      </c>
      <c r="GF56">
        <v>68385352</v>
      </c>
      <c r="GG56">
        <v>2</v>
      </c>
      <c r="GH56">
        <v>1</v>
      </c>
      <c r="GI56">
        <v>2</v>
      </c>
      <c r="GJ56">
        <v>2</v>
      </c>
      <c r="GK56">
        <f>ROUND(R56*(R12)/100,2)</f>
        <v>0</v>
      </c>
      <c r="GL56">
        <f t="shared" si="44"/>
        <v>0</v>
      </c>
      <c r="GM56">
        <f>ROUND(CP56*I56,2)</f>
        <v>11814.77</v>
      </c>
      <c r="GN56">
        <f>IF(OR(BI56=0,BI56=1),ROUND(CP56*I56,2),0)</f>
        <v>11814.77</v>
      </c>
      <c r="GO56">
        <f>IF(BI56=2,ROUND(CP56*I56,2),0)</f>
        <v>0</v>
      </c>
      <c r="GP56">
        <f>IF(BI56=4,ROUND(CP56*I56,2)+GX56,0)</f>
        <v>0</v>
      </c>
      <c r="GR56">
        <v>0</v>
      </c>
      <c r="GS56">
        <v>3</v>
      </c>
      <c r="GU56" t="s">
        <v>6</v>
      </c>
      <c r="GV56">
        <f>0</f>
        <v>0</v>
      </c>
      <c r="GW56">
        <v>1</v>
      </c>
      <c r="GX56">
        <f t="shared" si="50"/>
        <v>0</v>
      </c>
      <c r="GY56">
        <v>0</v>
      </c>
      <c r="GZ56">
        <v>0</v>
      </c>
      <c r="HA56">
        <v>0</v>
      </c>
      <c r="HB56">
        <v>0</v>
      </c>
      <c r="IK56">
        <v>0</v>
      </c>
    </row>
    <row r="57" spans="1:245">
      <c r="A57">
        <v>17</v>
      </c>
      <c r="B57">
        <v>1</v>
      </c>
      <c r="E57" t="s">
        <v>161</v>
      </c>
      <c r="F57" t="s">
        <v>162</v>
      </c>
      <c r="G57" t="s">
        <v>163</v>
      </c>
      <c r="H57" t="s">
        <v>156</v>
      </c>
      <c r="I57">
        <v>21</v>
      </c>
      <c r="J57">
        <v>0</v>
      </c>
      <c r="O57">
        <f>0</f>
        <v>0</v>
      </c>
      <c r="P57">
        <f>0</f>
        <v>0</v>
      </c>
      <c r="Q57">
        <f>0</f>
        <v>0</v>
      </c>
      <c r="R57">
        <f>0</f>
        <v>0</v>
      </c>
      <c r="S57">
        <f>0</f>
        <v>0</v>
      </c>
      <c r="T57">
        <f>0</f>
        <v>0</v>
      </c>
      <c r="U57">
        <f>0</f>
        <v>0</v>
      </c>
      <c r="V57">
        <f>0</f>
        <v>0</v>
      </c>
      <c r="W57">
        <f>0</f>
        <v>0</v>
      </c>
      <c r="X57">
        <f>0</f>
        <v>0</v>
      </c>
      <c r="Y57">
        <f>0</f>
        <v>0</v>
      </c>
      <c r="AA57">
        <v>28315699</v>
      </c>
      <c r="AB57">
        <f>ROUND((AK57),6)</f>
        <v>20.47</v>
      </c>
      <c r="AC57">
        <f>0</f>
        <v>0</v>
      </c>
      <c r="AD57">
        <f>0</f>
        <v>0</v>
      </c>
      <c r="AE57">
        <f>0</f>
        <v>0</v>
      </c>
      <c r="AF57">
        <f>0</f>
        <v>0</v>
      </c>
      <c r="AG57">
        <f>0</f>
        <v>0</v>
      </c>
      <c r="AH57">
        <f>0</f>
        <v>0</v>
      </c>
      <c r="AI57">
        <f>0</f>
        <v>0</v>
      </c>
      <c r="AJ57">
        <f>0</f>
        <v>0</v>
      </c>
      <c r="AK57">
        <v>20.47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5.87</v>
      </c>
      <c r="BA57">
        <v>1</v>
      </c>
      <c r="BB57">
        <v>1</v>
      </c>
      <c r="BC57">
        <v>1</v>
      </c>
      <c r="BD57" t="s">
        <v>6</v>
      </c>
      <c r="BE57" t="s">
        <v>6</v>
      </c>
      <c r="BF57" t="s">
        <v>6</v>
      </c>
      <c r="BG57" t="s">
        <v>6</v>
      </c>
      <c r="BH57">
        <v>0</v>
      </c>
      <c r="BI57">
        <v>1</v>
      </c>
      <c r="BJ57" t="s">
        <v>164</v>
      </c>
      <c r="BM57">
        <v>700005</v>
      </c>
      <c r="BN57">
        <v>0</v>
      </c>
      <c r="BO57" t="s">
        <v>162</v>
      </c>
      <c r="BP57">
        <v>1</v>
      </c>
      <c r="BQ57">
        <v>10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>AB57*AZ57</f>
        <v>120.15889999999999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156</v>
      </c>
      <c r="DW57" t="s">
        <v>156</v>
      </c>
      <c r="DX57">
        <v>1</v>
      </c>
      <c r="EE57">
        <v>27463319</v>
      </c>
      <c r="EF57">
        <v>10</v>
      </c>
      <c r="EG57" t="s">
        <v>165</v>
      </c>
      <c r="EH57">
        <v>0</v>
      </c>
      <c r="EI57" t="s">
        <v>6</v>
      </c>
      <c r="EJ57">
        <v>1</v>
      </c>
      <c r="EK57">
        <v>700005</v>
      </c>
      <c r="EL57" t="s">
        <v>166</v>
      </c>
      <c r="EM57" t="s">
        <v>167</v>
      </c>
      <c r="EO57" t="s">
        <v>6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FQ57">
        <v>0</v>
      </c>
      <c r="FR57">
        <f t="shared" si="43"/>
        <v>0</v>
      </c>
      <c r="FS57">
        <v>0</v>
      </c>
      <c r="FX57">
        <v>0</v>
      </c>
      <c r="FY57">
        <v>0</v>
      </c>
      <c r="GA57" t="s">
        <v>6</v>
      </c>
      <c r="GD57">
        <v>0</v>
      </c>
      <c r="GF57">
        <v>2137818072</v>
      </c>
      <c r="GG57">
        <v>2</v>
      </c>
      <c r="GH57">
        <v>1</v>
      </c>
      <c r="GI57">
        <v>2</v>
      </c>
      <c r="GJ57">
        <v>2</v>
      </c>
      <c r="GK57">
        <f>ROUND(R57*(R12)/100,2)</f>
        <v>0</v>
      </c>
      <c r="GL57">
        <f t="shared" si="44"/>
        <v>0</v>
      </c>
      <c r="GM57">
        <f>ROUND(CP57*I57,2)</f>
        <v>2523.34</v>
      </c>
      <c r="GN57">
        <f>IF(OR(BI57=0,BI57=1),ROUND(CP57*I57,2),0)</f>
        <v>2523.34</v>
      </c>
      <c r="GO57">
        <f>IF(BI57=2,ROUND(CP57*I57,2),0)</f>
        <v>0</v>
      </c>
      <c r="GP57">
        <f>IF(BI57=4,ROUND(CP57*I57,2)+GX57,0)</f>
        <v>0</v>
      </c>
      <c r="GR57">
        <v>0</v>
      </c>
      <c r="GS57">
        <v>3</v>
      </c>
      <c r="GU57" t="s">
        <v>6</v>
      </c>
      <c r="GV57">
        <f>0</f>
        <v>0</v>
      </c>
      <c r="GW57">
        <v>1</v>
      </c>
      <c r="GX57">
        <f t="shared" si="50"/>
        <v>0</v>
      </c>
      <c r="GY57">
        <v>0</v>
      </c>
      <c r="GZ57">
        <v>0</v>
      </c>
      <c r="HA57">
        <v>0</v>
      </c>
      <c r="HB57">
        <v>0</v>
      </c>
      <c r="IK57">
        <v>0</v>
      </c>
    </row>
    <row r="59" spans="1:245">
      <c r="A59" s="2">
        <v>51</v>
      </c>
      <c r="B59" s="2">
        <f>B20</f>
        <v>1</v>
      </c>
      <c r="C59" s="2">
        <f>A20</f>
        <v>3</v>
      </c>
      <c r="D59" s="2">
        <f>ROW(A20)</f>
        <v>20</v>
      </c>
      <c r="E59" s="2"/>
      <c r="F59" s="2" t="str">
        <f>IF(F20&lt;&gt;"",F20,"")</f>
        <v>Новая локальная смета</v>
      </c>
      <c r="G59" s="2" t="str">
        <f>IF(G20&lt;&gt;"",G20,"")</f>
        <v>Ремонт кровли корпуса №1, оси 6-25 методом напыления полимочевины. Филиал ВМЗ "Салют"</v>
      </c>
      <c r="H59" s="2">
        <v>0</v>
      </c>
      <c r="I59" s="2"/>
      <c r="J59" s="2"/>
      <c r="K59" s="2"/>
      <c r="L59" s="2"/>
      <c r="M59" s="2"/>
      <c r="N59" s="2"/>
      <c r="O59" s="2">
        <f t="shared" ref="O59:T59" si="59">ROUND(AB59,2)</f>
        <v>14743870.560000001</v>
      </c>
      <c r="P59" s="2">
        <f t="shared" si="59"/>
        <v>12457828.619999999</v>
      </c>
      <c r="Q59" s="2">
        <f t="shared" si="59"/>
        <v>243081.66</v>
      </c>
      <c r="R59" s="2">
        <f t="shared" si="59"/>
        <v>25036.33</v>
      </c>
      <c r="S59" s="2">
        <f t="shared" si="59"/>
        <v>2042960.28</v>
      </c>
      <c r="T59" s="2">
        <f t="shared" si="59"/>
        <v>0</v>
      </c>
      <c r="U59" s="2">
        <f>AH59</f>
        <v>8342.321648000001</v>
      </c>
      <c r="V59" s="2">
        <f>AI59</f>
        <v>84.828400000000002</v>
      </c>
      <c r="W59" s="2">
        <f>ROUND(AJ59,2)</f>
        <v>0</v>
      </c>
      <c r="X59" s="2">
        <f>ROUND(AK59,2)</f>
        <v>1708084.15</v>
      </c>
      <c r="Y59" s="2">
        <f>ROUND(AL59,2)</f>
        <v>1011088.96</v>
      </c>
      <c r="Z59" s="2"/>
      <c r="AA59" s="2"/>
      <c r="AB59" s="2">
        <f>ROUND(SUMIF(AA24:AA57,"=28315699",O24:O57),2)</f>
        <v>14743870.560000001</v>
      </c>
      <c r="AC59" s="2">
        <f>ROUND(SUMIF(AA24:AA57,"=28315699",P24:P57),2)</f>
        <v>12457828.619999999</v>
      </c>
      <c r="AD59" s="2">
        <f>ROUND(SUMIF(AA24:AA57,"=28315699",Q24:Q57),2)</f>
        <v>243081.66</v>
      </c>
      <c r="AE59" s="2">
        <f>ROUND(SUMIF(AA24:AA57,"=28315699",R24:R57),2)</f>
        <v>25036.33</v>
      </c>
      <c r="AF59" s="2">
        <f>ROUND(SUMIF(AA24:AA57,"=28315699",S24:S57),2)</f>
        <v>2042960.28</v>
      </c>
      <c r="AG59" s="2">
        <f>ROUND(SUMIF(AA24:AA57,"=28315699",T24:T57),2)</f>
        <v>0</v>
      </c>
      <c r="AH59" s="2">
        <f>SUMIF(AA24:AA57,"=28315699",U24:U57)</f>
        <v>8342.321648000001</v>
      </c>
      <c r="AI59" s="2">
        <f>SUMIF(AA24:AA57,"=28315699",V24:V57)</f>
        <v>84.828400000000002</v>
      </c>
      <c r="AJ59" s="2">
        <f>ROUND(SUMIF(AA24:AA57,"=28315699",W24:W57),2)</f>
        <v>0</v>
      </c>
      <c r="AK59" s="2">
        <f>ROUND(SUMIF(AA24:AA57,"=28315699",X24:X57),2)</f>
        <v>1708084.15</v>
      </c>
      <c r="AL59" s="2">
        <f>ROUND(SUMIF(AA24:AA57,"=28315699",Y24:Y57),2)</f>
        <v>1011088.96</v>
      </c>
      <c r="AM59" s="2"/>
      <c r="AN59" s="2"/>
      <c r="AO59" s="2">
        <f t="shared" ref="AO59:BC59" si="60">ROUND(BX59,2)</f>
        <v>0</v>
      </c>
      <c r="AP59" s="2">
        <f t="shared" si="60"/>
        <v>0</v>
      </c>
      <c r="AQ59" s="2">
        <f t="shared" si="60"/>
        <v>0</v>
      </c>
      <c r="AR59" s="2">
        <f t="shared" si="60"/>
        <v>17477381.780000001</v>
      </c>
      <c r="AS59" s="2">
        <f t="shared" si="60"/>
        <v>17477381.780000001</v>
      </c>
      <c r="AT59" s="2">
        <f t="shared" si="60"/>
        <v>0</v>
      </c>
      <c r="AU59" s="2">
        <f t="shared" si="60"/>
        <v>0</v>
      </c>
      <c r="AV59" s="2">
        <f t="shared" si="60"/>
        <v>12457828.619999999</v>
      </c>
      <c r="AW59" s="2">
        <f t="shared" si="60"/>
        <v>12457828.619999999</v>
      </c>
      <c r="AX59" s="2">
        <f t="shared" si="60"/>
        <v>0</v>
      </c>
      <c r="AY59" s="2">
        <f t="shared" si="60"/>
        <v>12457828.619999999</v>
      </c>
      <c r="AZ59" s="2">
        <f t="shared" si="60"/>
        <v>0</v>
      </c>
      <c r="BA59" s="2">
        <f t="shared" si="60"/>
        <v>0</v>
      </c>
      <c r="BB59" s="2">
        <f t="shared" si="60"/>
        <v>0</v>
      </c>
      <c r="BC59" s="2">
        <f t="shared" si="60"/>
        <v>0</v>
      </c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>
        <f>ROUND(SUMIF(AA24:AA57,"=28315699",FQ24:FQ57),2)</f>
        <v>0</v>
      </c>
      <c r="BY59" s="2">
        <f>ROUND(SUMIF(AA24:AA57,"=28315699",FR24:FR57),2)</f>
        <v>0</v>
      </c>
      <c r="BZ59" s="2">
        <f>ROUND(SUMIF(AA24:AA57,"=28315699",GL24:GL57),2)</f>
        <v>0</v>
      </c>
      <c r="CA59" s="2">
        <f>ROUND(SUMIF(AA24:AA57,"=28315699",GM24:GM57),2)</f>
        <v>17477381.780000001</v>
      </c>
      <c r="CB59" s="2">
        <f>ROUND(SUMIF(AA24:AA57,"=28315699",GN24:GN57),2)</f>
        <v>17477381.780000001</v>
      </c>
      <c r="CC59" s="2">
        <f>ROUND(SUMIF(AA24:AA57,"=28315699",GO24:GO57),2)</f>
        <v>0</v>
      </c>
      <c r="CD59" s="2">
        <f>ROUND(SUMIF(AA24:AA57,"=28315699",GP24:GP57),2)</f>
        <v>0</v>
      </c>
      <c r="CE59" s="2">
        <f>AC59-BX59</f>
        <v>12457828.619999999</v>
      </c>
      <c r="CF59" s="2">
        <f>AC59-BY59</f>
        <v>12457828.619999999</v>
      </c>
      <c r="CG59" s="2">
        <f>BX59-BZ59</f>
        <v>0</v>
      </c>
      <c r="CH59" s="2">
        <f>AC59-BX59-BY59+BZ59</f>
        <v>12457828.619999999</v>
      </c>
      <c r="CI59" s="2">
        <f>BY59-BZ59</f>
        <v>0</v>
      </c>
      <c r="CJ59" s="2">
        <f>ROUND(SUMIF(AA24:AA57,"=28315699",GX24:GX57),2)</f>
        <v>0</v>
      </c>
      <c r="CK59" s="2">
        <f>ROUND(SUMIF(AA24:AA57,"=28315699",GY24:GY57),2)</f>
        <v>0</v>
      </c>
      <c r="CL59" s="2">
        <f>ROUND(SUMIF(AA24:AA57,"=28315699",GZ24:GZ57),2)</f>
        <v>0</v>
      </c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>
        <v>0</v>
      </c>
    </row>
    <row r="61" spans="1:245">
      <c r="A61" s="4">
        <v>50</v>
      </c>
      <c r="B61" s="4">
        <v>0</v>
      </c>
      <c r="C61" s="4">
        <v>0</v>
      </c>
      <c r="D61" s="4">
        <v>1</v>
      </c>
      <c r="E61" s="4">
        <v>201</v>
      </c>
      <c r="F61" s="4">
        <f>ROUND(Source!O59,O61)</f>
        <v>14743870.560000001</v>
      </c>
      <c r="G61" s="4" t="s">
        <v>168</v>
      </c>
      <c r="H61" s="4" t="s">
        <v>169</v>
      </c>
      <c r="I61" s="4"/>
      <c r="J61" s="4"/>
      <c r="K61" s="4">
        <v>201</v>
      </c>
      <c r="L61" s="4">
        <v>1</v>
      </c>
      <c r="M61" s="4">
        <v>3</v>
      </c>
      <c r="N61" s="4" t="s">
        <v>6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45">
      <c r="A62" s="4">
        <v>50</v>
      </c>
      <c r="B62" s="4">
        <v>0</v>
      </c>
      <c r="C62" s="4">
        <v>0</v>
      </c>
      <c r="D62" s="4">
        <v>1</v>
      </c>
      <c r="E62" s="4">
        <v>202</v>
      </c>
      <c r="F62" s="4">
        <f>ROUND(Source!P59,O62)</f>
        <v>12457828.619999999</v>
      </c>
      <c r="G62" s="4" t="s">
        <v>170</v>
      </c>
      <c r="H62" s="4" t="s">
        <v>171</v>
      </c>
      <c r="I62" s="4"/>
      <c r="J62" s="4"/>
      <c r="K62" s="4">
        <v>202</v>
      </c>
      <c r="L62" s="4">
        <v>2</v>
      </c>
      <c r="M62" s="4">
        <v>3</v>
      </c>
      <c r="N62" s="4" t="s">
        <v>6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45">
      <c r="A63" s="4">
        <v>50</v>
      </c>
      <c r="B63" s="4">
        <v>0</v>
      </c>
      <c r="C63" s="4">
        <v>0</v>
      </c>
      <c r="D63" s="4">
        <v>1</v>
      </c>
      <c r="E63" s="4">
        <v>222</v>
      </c>
      <c r="F63" s="4">
        <f>ROUND(Source!AO59,O63)</f>
        <v>0</v>
      </c>
      <c r="G63" s="4" t="s">
        <v>172</v>
      </c>
      <c r="H63" s="4" t="s">
        <v>173</v>
      </c>
      <c r="I63" s="4"/>
      <c r="J63" s="4"/>
      <c r="K63" s="4">
        <v>222</v>
      </c>
      <c r="L63" s="4">
        <v>3</v>
      </c>
      <c r="M63" s="4">
        <v>3</v>
      </c>
      <c r="N63" s="4" t="s">
        <v>6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45">
      <c r="A64" s="4">
        <v>50</v>
      </c>
      <c r="B64" s="4">
        <v>0</v>
      </c>
      <c r="C64" s="4">
        <v>0</v>
      </c>
      <c r="D64" s="4">
        <v>1</v>
      </c>
      <c r="E64" s="4">
        <v>225</v>
      </c>
      <c r="F64" s="4">
        <f>ROUND(Source!AV59,O64)</f>
        <v>12457828.619999999</v>
      </c>
      <c r="G64" s="4" t="s">
        <v>174</v>
      </c>
      <c r="H64" s="4" t="s">
        <v>175</v>
      </c>
      <c r="I64" s="4"/>
      <c r="J64" s="4"/>
      <c r="K64" s="4">
        <v>225</v>
      </c>
      <c r="L64" s="4">
        <v>4</v>
      </c>
      <c r="M64" s="4">
        <v>3</v>
      </c>
      <c r="N64" s="4" t="s">
        <v>6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3">
      <c r="A65" s="4">
        <v>50</v>
      </c>
      <c r="B65" s="4">
        <v>0</v>
      </c>
      <c r="C65" s="4">
        <v>0</v>
      </c>
      <c r="D65" s="4">
        <v>1</v>
      </c>
      <c r="E65" s="4">
        <v>226</v>
      </c>
      <c r="F65" s="4">
        <f>ROUND(Source!AW59,O65)</f>
        <v>12457828.619999999</v>
      </c>
      <c r="G65" s="4" t="s">
        <v>176</v>
      </c>
      <c r="H65" s="4" t="s">
        <v>177</v>
      </c>
      <c r="I65" s="4"/>
      <c r="J65" s="4"/>
      <c r="K65" s="4">
        <v>226</v>
      </c>
      <c r="L65" s="4">
        <v>5</v>
      </c>
      <c r="M65" s="4">
        <v>3</v>
      </c>
      <c r="N65" s="4" t="s">
        <v>6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3">
      <c r="A66" s="4">
        <v>50</v>
      </c>
      <c r="B66" s="4">
        <v>0</v>
      </c>
      <c r="C66" s="4">
        <v>0</v>
      </c>
      <c r="D66" s="4">
        <v>1</v>
      </c>
      <c r="E66" s="4">
        <v>227</v>
      </c>
      <c r="F66" s="4">
        <f>ROUND(Source!AX59,O66)</f>
        <v>0</v>
      </c>
      <c r="G66" s="4" t="s">
        <v>178</v>
      </c>
      <c r="H66" s="4" t="s">
        <v>179</v>
      </c>
      <c r="I66" s="4"/>
      <c r="J66" s="4"/>
      <c r="K66" s="4">
        <v>227</v>
      </c>
      <c r="L66" s="4">
        <v>6</v>
      </c>
      <c r="M66" s="4">
        <v>3</v>
      </c>
      <c r="N66" s="4" t="s">
        <v>6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3">
      <c r="A67" s="4">
        <v>50</v>
      </c>
      <c r="B67" s="4">
        <v>0</v>
      </c>
      <c r="C67" s="4">
        <v>0</v>
      </c>
      <c r="D67" s="4">
        <v>1</v>
      </c>
      <c r="E67" s="4">
        <v>228</v>
      </c>
      <c r="F67" s="4">
        <f>ROUND(Source!AY59,O67)</f>
        <v>12457828.619999999</v>
      </c>
      <c r="G67" s="4" t="s">
        <v>180</v>
      </c>
      <c r="H67" s="4" t="s">
        <v>181</v>
      </c>
      <c r="I67" s="4"/>
      <c r="J67" s="4"/>
      <c r="K67" s="4">
        <v>228</v>
      </c>
      <c r="L67" s="4">
        <v>7</v>
      </c>
      <c r="M67" s="4">
        <v>3</v>
      </c>
      <c r="N67" s="4" t="s">
        <v>6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3">
      <c r="A68" s="4">
        <v>50</v>
      </c>
      <c r="B68" s="4">
        <v>0</v>
      </c>
      <c r="C68" s="4">
        <v>0</v>
      </c>
      <c r="D68" s="4">
        <v>1</v>
      </c>
      <c r="E68" s="4">
        <v>216</v>
      </c>
      <c r="F68" s="4">
        <f>ROUND(Source!AP59,O68)</f>
        <v>0</v>
      </c>
      <c r="G68" s="4" t="s">
        <v>182</v>
      </c>
      <c r="H68" s="4" t="s">
        <v>183</v>
      </c>
      <c r="I68" s="4"/>
      <c r="J68" s="4"/>
      <c r="K68" s="4">
        <v>216</v>
      </c>
      <c r="L68" s="4">
        <v>8</v>
      </c>
      <c r="M68" s="4">
        <v>3</v>
      </c>
      <c r="N68" s="4" t="s">
        <v>6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3">
      <c r="A69" s="4">
        <v>50</v>
      </c>
      <c r="B69" s="4">
        <v>0</v>
      </c>
      <c r="C69" s="4">
        <v>0</v>
      </c>
      <c r="D69" s="4">
        <v>1</v>
      </c>
      <c r="E69" s="4">
        <v>223</v>
      </c>
      <c r="F69" s="4">
        <f>ROUND(Source!AQ59,O69)</f>
        <v>0</v>
      </c>
      <c r="G69" s="4" t="s">
        <v>184</v>
      </c>
      <c r="H69" s="4" t="s">
        <v>185</v>
      </c>
      <c r="I69" s="4"/>
      <c r="J69" s="4"/>
      <c r="K69" s="4">
        <v>223</v>
      </c>
      <c r="L69" s="4">
        <v>9</v>
      </c>
      <c r="M69" s="4">
        <v>3</v>
      </c>
      <c r="N69" s="4" t="s">
        <v>6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3">
      <c r="A70" s="4">
        <v>50</v>
      </c>
      <c r="B70" s="4">
        <v>0</v>
      </c>
      <c r="C70" s="4">
        <v>0</v>
      </c>
      <c r="D70" s="4">
        <v>1</v>
      </c>
      <c r="E70" s="4">
        <v>229</v>
      </c>
      <c r="F70" s="4">
        <f>ROUND(Source!AZ59,O70)</f>
        <v>0</v>
      </c>
      <c r="G70" s="4" t="s">
        <v>186</v>
      </c>
      <c r="H70" s="4" t="s">
        <v>187</v>
      </c>
      <c r="I70" s="4"/>
      <c r="J70" s="4"/>
      <c r="K70" s="4">
        <v>229</v>
      </c>
      <c r="L70" s="4">
        <v>10</v>
      </c>
      <c r="M70" s="4">
        <v>3</v>
      </c>
      <c r="N70" s="4" t="s">
        <v>6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1" spans="1:23">
      <c r="A71" s="4">
        <v>50</v>
      </c>
      <c r="B71" s="4">
        <v>0</v>
      </c>
      <c r="C71" s="4">
        <v>0</v>
      </c>
      <c r="D71" s="4">
        <v>1</v>
      </c>
      <c r="E71" s="4">
        <v>203</v>
      </c>
      <c r="F71" s="4">
        <f>ROUND(Source!Q59,O71)</f>
        <v>243081.66</v>
      </c>
      <c r="G71" s="4" t="s">
        <v>188</v>
      </c>
      <c r="H71" s="4" t="s">
        <v>189</v>
      </c>
      <c r="I71" s="4"/>
      <c r="J71" s="4"/>
      <c r="K71" s="4">
        <v>203</v>
      </c>
      <c r="L71" s="4">
        <v>11</v>
      </c>
      <c r="M71" s="4">
        <v>3</v>
      </c>
      <c r="N71" s="4" t="s">
        <v>6</v>
      </c>
      <c r="O71" s="4">
        <v>2</v>
      </c>
      <c r="P71" s="4"/>
      <c r="Q71" s="4"/>
      <c r="R71" s="4"/>
      <c r="S71" s="4"/>
      <c r="T71" s="4"/>
      <c r="U71" s="4"/>
      <c r="V71" s="4"/>
      <c r="W71" s="4"/>
    </row>
    <row r="72" spans="1:23">
      <c r="A72" s="4">
        <v>50</v>
      </c>
      <c r="B72" s="4">
        <v>0</v>
      </c>
      <c r="C72" s="4">
        <v>0</v>
      </c>
      <c r="D72" s="4">
        <v>1</v>
      </c>
      <c r="E72" s="4">
        <v>231</v>
      </c>
      <c r="F72" s="4">
        <f>ROUND(Source!BB59,O72)</f>
        <v>0</v>
      </c>
      <c r="G72" s="4" t="s">
        <v>190</v>
      </c>
      <c r="H72" s="4" t="s">
        <v>191</v>
      </c>
      <c r="I72" s="4"/>
      <c r="J72" s="4"/>
      <c r="K72" s="4">
        <v>231</v>
      </c>
      <c r="L72" s="4">
        <v>12</v>
      </c>
      <c r="M72" s="4">
        <v>3</v>
      </c>
      <c r="N72" s="4" t="s">
        <v>6</v>
      </c>
      <c r="O72" s="4">
        <v>2</v>
      </c>
      <c r="P72" s="4"/>
      <c r="Q72" s="4"/>
      <c r="R72" s="4"/>
      <c r="S72" s="4"/>
      <c r="T72" s="4"/>
      <c r="U72" s="4"/>
      <c r="V72" s="4"/>
      <c r="W72" s="4"/>
    </row>
    <row r="73" spans="1:23">
      <c r="A73" s="4">
        <v>50</v>
      </c>
      <c r="B73" s="4">
        <v>0</v>
      </c>
      <c r="C73" s="4">
        <v>0</v>
      </c>
      <c r="D73" s="4">
        <v>1</v>
      </c>
      <c r="E73" s="4">
        <v>204</v>
      </c>
      <c r="F73" s="4">
        <f>ROUND(Source!R59,O73)</f>
        <v>25036.33</v>
      </c>
      <c r="G73" s="4" t="s">
        <v>192</v>
      </c>
      <c r="H73" s="4" t="s">
        <v>193</v>
      </c>
      <c r="I73" s="4"/>
      <c r="J73" s="4"/>
      <c r="K73" s="4">
        <v>204</v>
      </c>
      <c r="L73" s="4">
        <v>13</v>
      </c>
      <c r="M73" s="4">
        <v>3</v>
      </c>
      <c r="N73" s="4" t="s">
        <v>6</v>
      </c>
      <c r="O73" s="4">
        <v>2</v>
      </c>
      <c r="P73" s="4"/>
      <c r="Q73" s="4"/>
      <c r="R73" s="4"/>
      <c r="S73" s="4"/>
      <c r="T73" s="4"/>
      <c r="U73" s="4"/>
      <c r="V73" s="4"/>
      <c r="W73" s="4"/>
    </row>
    <row r="74" spans="1:23">
      <c r="A74" s="4">
        <v>50</v>
      </c>
      <c r="B74" s="4">
        <v>0</v>
      </c>
      <c r="C74" s="4">
        <v>0</v>
      </c>
      <c r="D74" s="4">
        <v>1</v>
      </c>
      <c r="E74" s="4">
        <v>205</v>
      </c>
      <c r="F74" s="4">
        <f>ROUND(Source!S59,O74)</f>
        <v>2042960.28</v>
      </c>
      <c r="G74" s="4" t="s">
        <v>194</v>
      </c>
      <c r="H74" s="4" t="s">
        <v>195</v>
      </c>
      <c r="I74" s="4"/>
      <c r="J74" s="4"/>
      <c r="K74" s="4">
        <v>205</v>
      </c>
      <c r="L74" s="4">
        <v>14</v>
      </c>
      <c r="M74" s="4">
        <v>3</v>
      </c>
      <c r="N74" s="4" t="s">
        <v>6</v>
      </c>
      <c r="O74" s="4">
        <v>2</v>
      </c>
      <c r="P74" s="4"/>
      <c r="Q74" s="4"/>
      <c r="R74" s="4"/>
      <c r="S74" s="4"/>
      <c r="T74" s="4"/>
      <c r="U74" s="4"/>
      <c r="V74" s="4"/>
      <c r="W74" s="4"/>
    </row>
    <row r="75" spans="1:23">
      <c r="A75" s="4">
        <v>50</v>
      </c>
      <c r="B75" s="4">
        <v>0</v>
      </c>
      <c r="C75" s="4">
        <v>0</v>
      </c>
      <c r="D75" s="4">
        <v>1</v>
      </c>
      <c r="E75" s="4">
        <v>232</v>
      </c>
      <c r="F75" s="4">
        <f>ROUND(Source!BC59,O75)</f>
        <v>0</v>
      </c>
      <c r="G75" s="4" t="s">
        <v>196</v>
      </c>
      <c r="H75" s="4" t="s">
        <v>197</v>
      </c>
      <c r="I75" s="4"/>
      <c r="J75" s="4"/>
      <c r="K75" s="4">
        <v>232</v>
      </c>
      <c r="L75" s="4">
        <v>15</v>
      </c>
      <c r="M75" s="4">
        <v>3</v>
      </c>
      <c r="N75" s="4" t="s">
        <v>6</v>
      </c>
      <c r="O75" s="4">
        <v>2</v>
      </c>
      <c r="P75" s="4"/>
      <c r="Q75" s="4"/>
      <c r="R75" s="4"/>
      <c r="S75" s="4"/>
      <c r="T75" s="4"/>
      <c r="U75" s="4"/>
      <c r="V75" s="4"/>
      <c r="W75" s="4"/>
    </row>
    <row r="76" spans="1:23">
      <c r="A76" s="4">
        <v>50</v>
      </c>
      <c r="B76" s="4">
        <v>0</v>
      </c>
      <c r="C76" s="4">
        <v>0</v>
      </c>
      <c r="D76" s="4">
        <v>1</v>
      </c>
      <c r="E76" s="4">
        <v>214</v>
      </c>
      <c r="F76" s="4">
        <f>ROUND(Source!AS59,O76)</f>
        <v>17477381.780000001</v>
      </c>
      <c r="G76" s="4" t="s">
        <v>198</v>
      </c>
      <c r="H76" s="4" t="s">
        <v>199</v>
      </c>
      <c r="I76" s="4"/>
      <c r="J76" s="4"/>
      <c r="K76" s="4">
        <v>214</v>
      </c>
      <c r="L76" s="4">
        <v>16</v>
      </c>
      <c r="M76" s="4">
        <v>3</v>
      </c>
      <c r="N76" s="4" t="s">
        <v>6</v>
      </c>
      <c r="O76" s="4">
        <v>2</v>
      </c>
      <c r="P76" s="4"/>
      <c r="Q76" s="4"/>
      <c r="R76" s="4"/>
      <c r="S76" s="4"/>
      <c r="T76" s="4"/>
      <c r="U76" s="4"/>
      <c r="V76" s="4"/>
      <c r="W76" s="4"/>
    </row>
    <row r="77" spans="1:23">
      <c r="A77" s="4">
        <v>50</v>
      </c>
      <c r="B77" s="4">
        <v>0</v>
      </c>
      <c r="C77" s="4">
        <v>0</v>
      </c>
      <c r="D77" s="4">
        <v>1</v>
      </c>
      <c r="E77" s="4">
        <v>215</v>
      </c>
      <c r="F77" s="4">
        <f>ROUND(Source!AT59,O77)</f>
        <v>0</v>
      </c>
      <c r="G77" s="4" t="s">
        <v>200</v>
      </c>
      <c r="H77" s="4" t="s">
        <v>201</v>
      </c>
      <c r="I77" s="4"/>
      <c r="J77" s="4"/>
      <c r="K77" s="4">
        <v>215</v>
      </c>
      <c r="L77" s="4">
        <v>17</v>
      </c>
      <c r="M77" s="4">
        <v>3</v>
      </c>
      <c r="N77" s="4" t="s">
        <v>6</v>
      </c>
      <c r="O77" s="4">
        <v>2</v>
      </c>
      <c r="P77" s="4"/>
      <c r="Q77" s="4"/>
      <c r="R77" s="4"/>
      <c r="S77" s="4"/>
      <c r="T77" s="4"/>
      <c r="U77" s="4"/>
      <c r="V77" s="4"/>
      <c r="W77" s="4"/>
    </row>
    <row r="78" spans="1:23">
      <c r="A78" s="4">
        <v>50</v>
      </c>
      <c r="B78" s="4">
        <v>0</v>
      </c>
      <c r="C78" s="4">
        <v>0</v>
      </c>
      <c r="D78" s="4">
        <v>1</v>
      </c>
      <c r="E78" s="4">
        <v>217</v>
      </c>
      <c r="F78" s="4">
        <f>ROUND(Source!AU59,O78)</f>
        <v>0</v>
      </c>
      <c r="G78" s="4" t="s">
        <v>202</v>
      </c>
      <c r="H78" s="4" t="s">
        <v>203</v>
      </c>
      <c r="I78" s="4"/>
      <c r="J78" s="4"/>
      <c r="K78" s="4">
        <v>217</v>
      </c>
      <c r="L78" s="4">
        <v>18</v>
      </c>
      <c r="M78" s="4">
        <v>3</v>
      </c>
      <c r="N78" s="4" t="s">
        <v>6</v>
      </c>
      <c r="O78" s="4">
        <v>2</v>
      </c>
      <c r="P78" s="4"/>
      <c r="Q78" s="4"/>
      <c r="R78" s="4"/>
      <c r="S78" s="4"/>
      <c r="T78" s="4"/>
      <c r="U78" s="4"/>
      <c r="V78" s="4"/>
      <c r="W78" s="4"/>
    </row>
    <row r="79" spans="1:23">
      <c r="A79" s="4">
        <v>50</v>
      </c>
      <c r="B79" s="4">
        <v>0</v>
      </c>
      <c r="C79" s="4">
        <v>0</v>
      </c>
      <c r="D79" s="4">
        <v>1</v>
      </c>
      <c r="E79" s="4">
        <v>230</v>
      </c>
      <c r="F79" s="4">
        <f>ROUND(Source!BA59,O79)</f>
        <v>0</v>
      </c>
      <c r="G79" s="4" t="s">
        <v>204</v>
      </c>
      <c r="H79" s="4" t="s">
        <v>205</v>
      </c>
      <c r="I79" s="4"/>
      <c r="J79" s="4"/>
      <c r="K79" s="4">
        <v>230</v>
      </c>
      <c r="L79" s="4">
        <v>19</v>
      </c>
      <c r="M79" s="4">
        <v>3</v>
      </c>
      <c r="N79" s="4" t="s">
        <v>6</v>
      </c>
      <c r="O79" s="4">
        <v>2</v>
      </c>
      <c r="P79" s="4"/>
      <c r="Q79" s="4"/>
      <c r="R79" s="4"/>
      <c r="S79" s="4"/>
      <c r="T79" s="4"/>
      <c r="U79" s="4"/>
      <c r="V79" s="4"/>
      <c r="W79" s="4"/>
    </row>
    <row r="80" spans="1:23">
      <c r="A80" s="4">
        <v>50</v>
      </c>
      <c r="B80" s="4">
        <v>0</v>
      </c>
      <c r="C80" s="4">
        <v>0</v>
      </c>
      <c r="D80" s="4">
        <v>1</v>
      </c>
      <c r="E80" s="4">
        <v>206</v>
      </c>
      <c r="F80" s="4">
        <f>ROUND(Source!T59,O80)</f>
        <v>0</v>
      </c>
      <c r="G80" s="4" t="s">
        <v>206</v>
      </c>
      <c r="H80" s="4" t="s">
        <v>207</v>
      </c>
      <c r="I80" s="4"/>
      <c r="J80" s="4"/>
      <c r="K80" s="4">
        <v>206</v>
      </c>
      <c r="L80" s="4">
        <v>20</v>
      </c>
      <c r="M80" s="4">
        <v>3</v>
      </c>
      <c r="N80" s="4" t="s">
        <v>6</v>
      </c>
      <c r="O80" s="4">
        <v>2</v>
      </c>
      <c r="P80" s="4"/>
      <c r="Q80" s="4"/>
      <c r="R80" s="4"/>
      <c r="S80" s="4"/>
      <c r="T80" s="4"/>
      <c r="U80" s="4"/>
      <c r="V80" s="4"/>
      <c r="W80" s="4"/>
    </row>
    <row r="81" spans="1:206">
      <c r="A81" s="4">
        <v>50</v>
      </c>
      <c r="B81" s="4">
        <v>0</v>
      </c>
      <c r="C81" s="4">
        <v>0</v>
      </c>
      <c r="D81" s="4">
        <v>1</v>
      </c>
      <c r="E81" s="4">
        <v>207</v>
      </c>
      <c r="F81" s="4">
        <f>Source!U59</f>
        <v>8342.321648000001</v>
      </c>
      <c r="G81" s="4" t="s">
        <v>208</v>
      </c>
      <c r="H81" s="4" t="s">
        <v>209</v>
      </c>
      <c r="I81" s="4"/>
      <c r="J81" s="4"/>
      <c r="K81" s="4">
        <v>207</v>
      </c>
      <c r="L81" s="4">
        <v>21</v>
      </c>
      <c r="M81" s="4">
        <v>3</v>
      </c>
      <c r="N81" s="4" t="s">
        <v>6</v>
      </c>
      <c r="O81" s="4">
        <v>-1</v>
      </c>
      <c r="P81" s="4"/>
      <c r="Q81" s="4"/>
      <c r="R81" s="4"/>
      <c r="S81" s="4"/>
      <c r="T81" s="4"/>
      <c r="U81" s="4"/>
      <c r="V81" s="4"/>
      <c r="W81" s="4"/>
    </row>
    <row r="82" spans="1:206">
      <c r="A82" s="4">
        <v>50</v>
      </c>
      <c r="B82" s="4">
        <v>0</v>
      </c>
      <c r="C82" s="4">
        <v>0</v>
      </c>
      <c r="D82" s="4">
        <v>1</v>
      </c>
      <c r="E82" s="4">
        <v>208</v>
      </c>
      <c r="F82" s="4">
        <f>Source!V59</f>
        <v>84.828400000000002</v>
      </c>
      <c r="G82" s="4" t="s">
        <v>210</v>
      </c>
      <c r="H82" s="4" t="s">
        <v>211</v>
      </c>
      <c r="I82" s="4"/>
      <c r="J82" s="4"/>
      <c r="K82" s="4">
        <v>208</v>
      </c>
      <c r="L82" s="4">
        <v>22</v>
      </c>
      <c r="M82" s="4">
        <v>3</v>
      </c>
      <c r="N82" s="4" t="s">
        <v>6</v>
      </c>
      <c r="O82" s="4">
        <v>-1</v>
      </c>
      <c r="P82" s="4"/>
      <c r="Q82" s="4"/>
      <c r="R82" s="4"/>
      <c r="S82" s="4"/>
      <c r="T82" s="4"/>
      <c r="U82" s="4"/>
      <c r="V82" s="4"/>
      <c r="W82" s="4"/>
    </row>
    <row r="83" spans="1:206">
      <c r="A83" s="4">
        <v>50</v>
      </c>
      <c r="B83" s="4">
        <v>0</v>
      </c>
      <c r="C83" s="4">
        <v>0</v>
      </c>
      <c r="D83" s="4">
        <v>1</v>
      </c>
      <c r="E83" s="4">
        <v>209</v>
      </c>
      <c r="F83" s="4">
        <f>ROUND(Source!W59,O83)</f>
        <v>0</v>
      </c>
      <c r="G83" s="4" t="s">
        <v>212</v>
      </c>
      <c r="H83" s="4" t="s">
        <v>213</v>
      </c>
      <c r="I83" s="4"/>
      <c r="J83" s="4"/>
      <c r="K83" s="4">
        <v>209</v>
      </c>
      <c r="L83" s="4">
        <v>23</v>
      </c>
      <c r="M83" s="4">
        <v>3</v>
      </c>
      <c r="N83" s="4" t="s">
        <v>6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06">
      <c r="A84" s="4">
        <v>50</v>
      </c>
      <c r="B84" s="4">
        <v>0</v>
      </c>
      <c r="C84" s="4">
        <v>0</v>
      </c>
      <c r="D84" s="4">
        <v>1</v>
      </c>
      <c r="E84" s="4">
        <v>210</v>
      </c>
      <c r="F84" s="4">
        <f>ROUND(Source!X59,O84)</f>
        <v>1708084.15</v>
      </c>
      <c r="G84" s="4" t="s">
        <v>214</v>
      </c>
      <c r="H84" s="4" t="s">
        <v>215</v>
      </c>
      <c r="I84" s="4"/>
      <c r="J84" s="4"/>
      <c r="K84" s="4">
        <v>210</v>
      </c>
      <c r="L84" s="4">
        <v>24</v>
      </c>
      <c r="M84" s="4">
        <v>3</v>
      </c>
      <c r="N84" s="4" t="s">
        <v>6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5" spans="1:206">
      <c r="A85" s="4">
        <v>50</v>
      </c>
      <c r="B85" s="4">
        <v>0</v>
      </c>
      <c r="C85" s="4">
        <v>0</v>
      </c>
      <c r="D85" s="4">
        <v>1</v>
      </c>
      <c r="E85" s="4">
        <v>211</v>
      </c>
      <c r="F85" s="4">
        <f>ROUND(Source!Y59,O85)</f>
        <v>1011088.96</v>
      </c>
      <c r="G85" s="4" t="s">
        <v>216</v>
      </c>
      <c r="H85" s="4" t="s">
        <v>217</v>
      </c>
      <c r="I85" s="4"/>
      <c r="J85" s="4"/>
      <c r="K85" s="4">
        <v>211</v>
      </c>
      <c r="L85" s="4">
        <v>25</v>
      </c>
      <c r="M85" s="4">
        <v>3</v>
      </c>
      <c r="N85" s="4" t="s">
        <v>6</v>
      </c>
      <c r="O85" s="4">
        <v>2</v>
      </c>
      <c r="P85" s="4"/>
      <c r="Q85" s="4"/>
      <c r="R85" s="4"/>
      <c r="S85" s="4"/>
      <c r="T85" s="4"/>
      <c r="U85" s="4"/>
      <c r="V85" s="4"/>
      <c r="W85" s="4"/>
    </row>
    <row r="86" spans="1:206">
      <c r="A86" s="4">
        <v>50</v>
      </c>
      <c r="B86" s="4">
        <v>0</v>
      </c>
      <c r="C86" s="4">
        <v>0</v>
      </c>
      <c r="D86" s="4">
        <v>1</v>
      </c>
      <c r="E86" s="4">
        <v>224</v>
      </c>
      <c r="F86" s="4">
        <f>ROUND(Source!AR59,O86)</f>
        <v>17477381.780000001</v>
      </c>
      <c r="G86" s="4" t="s">
        <v>218</v>
      </c>
      <c r="H86" s="4" t="s">
        <v>219</v>
      </c>
      <c r="I86" s="4"/>
      <c r="J86" s="4"/>
      <c r="K86" s="4">
        <v>224</v>
      </c>
      <c r="L86" s="4">
        <v>26</v>
      </c>
      <c r="M86" s="4">
        <v>3</v>
      </c>
      <c r="N86" s="4" t="s">
        <v>6</v>
      </c>
      <c r="O86" s="4">
        <v>2</v>
      </c>
      <c r="P86" s="4"/>
      <c r="Q86" s="4"/>
      <c r="R86" s="4"/>
      <c r="S86" s="4"/>
      <c r="T86" s="4"/>
      <c r="U86" s="4"/>
      <c r="V86" s="4"/>
      <c r="W86" s="4"/>
    </row>
    <row r="87" spans="1:206">
      <c r="A87" s="4">
        <v>50</v>
      </c>
      <c r="B87" s="4">
        <v>1</v>
      </c>
      <c r="C87" s="4">
        <v>0</v>
      </c>
      <c r="D87" s="4">
        <v>2</v>
      </c>
      <c r="E87" s="4">
        <v>0</v>
      </c>
      <c r="F87" s="4">
        <v>2042960.28</v>
      </c>
      <c r="G87" s="4" t="s">
        <v>194</v>
      </c>
      <c r="H87" s="4" t="s">
        <v>195</v>
      </c>
      <c r="I87" s="4"/>
      <c r="J87" s="4"/>
      <c r="K87" s="4">
        <v>212</v>
      </c>
      <c r="L87" s="4">
        <v>27</v>
      </c>
      <c r="M87" s="4">
        <v>0</v>
      </c>
      <c r="N87" s="4" t="s">
        <v>6</v>
      </c>
      <c r="O87" s="4">
        <v>2</v>
      </c>
      <c r="P87" s="4"/>
      <c r="Q87" s="4"/>
      <c r="R87" s="4"/>
      <c r="S87" s="4"/>
      <c r="T87" s="4"/>
      <c r="U87" s="4"/>
      <c r="V87" s="4"/>
      <c r="W87" s="4"/>
    </row>
    <row r="88" spans="1:206">
      <c r="A88" s="4">
        <v>50</v>
      </c>
      <c r="B88" s="4">
        <v>1</v>
      </c>
      <c r="C88" s="4">
        <v>0</v>
      </c>
      <c r="D88" s="4">
        <v>2</v>
      </c>
      <c r="E88" s="4">
        <v>0</v>
      </c>
      <c r="F88" s="4">
        <v>8342.32</v>
      </c>
      <c r="G88" s="4" t="s">
        <v>208</v>
      </c>
      <c r="H88" s="4" t="s">
        <v>209</v>
      </c>
      <c r="I88" s="4"/>
      <c r="J88" s="4"/>
      <c r="K88" s="4">
        <v>212</v>
      </c>
      <c r="L88" s="4">
        <v>28</v>
      </c>
      <c r="M88" s="4">
        <v>0</v>
      </c>
      <c r="N88" s="4" t="s">
        <v>6</v>
      </c>
      <c r="O88" s="4">
        <v>2</v>
      </c>
      <c r="P88" s="4"/>
      <c r="Q88" s="4"/>
      <c r="R88" s="4"/>
      <c r="S88" s="4"/>
      <c r="T88" s="4"/>
      <c r="U88" s="4"/>
      <c r="V88" s="4"/>
      <c r="W88" s="4"/>
    </row>
    <row r="89" spans="1:206">
      <c r="A89" s="4">
        <v>50</v>
      </c>
      <c r="B89" s="4">
        <v>1</v>
      </c>
      <c r="C89" s="4">
        <v>0</v>
      </c>
      <c r="D89" s="4">
        <v>2</v>
      </c>
      <c r="E89" s="4">
        <v>0</v>
      </c>
      <c r="F89" s="4">
        <f>ROUND(F86,O89)</f>
        <v>17477381.780000001</v>
      </c>
      <c r="G89" s="4" t="s">
        <v>220</v>
      </c>
      <c r="H89" s="4" t="s">
        <v>221</v>
      </c>
      <c r="I89" s="4"/>
      <c r="J89" s="4"/>
      <c r="K89" s="4">
        <v>212</v>
      </c>
      <c r="L89" s="4">
        <v>29</v>
      </c>
      <c r="M89" s="4">
        <v>0</v>
      </c>
      <c r="N89" s="4" t="s">
        <v>6</v>
      </c>
      <c r="O89" s="4">
        <v>2</v>
      </c>
      <c r="P89" s="4"/>
      <c r="Q89" s="4"/>
      <c r="R89" s="4"/>
      <c r="S89" s="4"/>
      <c r="T89" s="4"/>
      <c r="U89" s="4"/>
      <c r="V89" s="4"/>
      <c r="W89" s="4"/>
    </row>
    <row r="90" spans="1:206">
      <c r="A90" s="4">
        <v>50</v>
      </c>
      <c r="B90" s="4">
        <v>1</v>
      </c>
      <c r="C90" s="4">
        <v>0</v>
      </c>
      <c r="D90" s="4">
        <v>2</v>
      </c>
      <c r="E90" s="4">
        <v>0</v>
      </c>
      <c r="F90" s="4">
        <f>ROUND(F89*0.03,O90)</f>
        <v>524321.44999999995</v>
      </c>
      <c r="G90" s="4" t="s">
        <v>222</v>
      </c>
      <c r="H90" s="4" t="s">
        <v>223</v>
      </c>
      <c r="I90" s="4"/>
      <c r="J90" s="4"/>
      <c r="K90" s="4">
        <v>212</v>
      </c>
      <c r="L90" s="4">
        <v>30</v>
      </c>
      <c r="M90" s="4">
        <v>0</v>
      </c>
      <c r="N90" s="4" t="s">
        <v>6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06">
      <c r="A91" s="4">
        <v>50</v>
      </c>
      <c r="B91" s="4">
        <v>1</v>
      </c>
      <c r="C91" s="4">
        <v>0</v>
      </c>
      <c r="D91" s="4">
        <v>2</v>
      </c>
      <c r="E91" s="4">
        <v>0</v>
      </c>
      <c r="F91" s="4">
        <f>ROUND(F89+F90,O91)</f>
        <v>18001703.23</v>
      </c>
      <c r="G91" s="4" t="s">
        <v>224</v>
      </c>
      <c r="H91" s="4" t="s">
        <v>225</v>
      </c>
      <c r="I91" s="4"/>
      <c r="J91" s="4"/>
      <c r="K91" s="4">
        <v>212</v>
      </c>
      <c r="L91" s="4">
        <v>31</v>
      </c>
      <c r="M91" s="4">
        <v>0</v>
      </c>
      <c r="N91" s="4" t="s">
        <v>6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06">
      <c r="A92" s="4">
        <v>50</v>
      </c>
      <c r="B92" s="4">
        <v>1</v>
      </c>
      <c r="C92" s="4">
        <v>0</v>
      </c>
      <c r="D92" s="4">
        <v>2</v>
      </c>
      <c r="E92" s="4">
        <v>0</v>
      </c>
      <c r="F92" s="4">
        <f>ROUND(F91*0.18,O92)</f>
        <v>3240306.58</v>
      </c>
      <c r="G92" s="4" t="s">
        <v>226</v>
      </c>
      <c r="H92" s="4" t="s">
        <v>227</v>
      </c>
      <c r="I92" s="4"/>
      <c r="J92" s="4"/>
      <c r="K92" s="4">
        <v>212</v>
      </c>
      <c r="L92" s="4">
        <v>32</v>
      </c>
      <c r="M92" s="4">
        <v>0</v>
      </c>
      <c r="N92" s="4" t="s">
        <v>6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06">
      <c r="A93" s="4">
        <v>50</v>
      </c>
      <c r="B93" s="4">
        <v>1</v>
      </c>
      <c r="C93" s="4">
        <v>0</v>
      </c>
      <c r="D93" s="4">
        <v>2</v>
      </c>
      <c r="E93" s="4">
        <v>0</v>
      </c>
      <c r="F93" s="4">
        <f>ROUND(F92+F91,O93)</f>
        <v>21242009.809999999</v>
      </c>
      <c r="G93" s="4" t="s">
        <v>228</v>
      </c>
      <c r="H93" s="4" t="s">
        <v>228</v>
      </c>
      <c r="I93" s="4"/>
      <c r="J93" s="4"/>
      <c r="K93" s="4">
        <v>212</v>
      </c>
      <c r="L93" s="4">
        <v>33</v>
      </c>
      <c r="M93" s="4">
        <v>0</v>
      </c>
      <c r="N93" s="4" t="s">
        <v>6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5" spans="1:206">
      <c r="A95" s="2">
        <v>51</v>
      </c>
      <c r="B95" s="2">
        <f>B12</f>
        <v>153</v>
      </c>
      <c r="C95" s="2">
        <f>A12</f>
        <v>1</v>
      </c>
      <c r="D95" s="2">
        <f>ROW(A12)</f>
        <v>12</v>
      </c>
      <c r="E95" s="2"/>
      <c r="F95" s="2" t="str">
        <f>IF(F12&lt;&gt;"",F12,"")</f>
        <v>Новый объект</v>
      </c>
      <c r="G95" s="2" t="str">
        <f>IF(G12&lt;&gt;"",G12,"")</f>
        <v>Ремонт кровли корпуса №1, оси 6-25 методом напыления полимочевины. Филиал ВМЗ "Салют"</v>
      </c>
      <c r="H95" s="2">
        <v>0</v>
      </c>
      <c r="I95" s="2"/>
      <c r="J95" s="2"/>
      <c r="K95" s="2"/>
      <c r="L95" s="2"/>
      <c r="M95" s="2"/>
      <c r="N95" s="2"/>
      <c r="O95" s="2">
        <f t="shared" ref="O95:T95" si="61">ROUND(O59,2)</f>
        <v>14743870.560000001</v>
      </c>
      <c r="P95" s="2">
        <f t="shared" si="61"/>
        <v>12457828.619999999</v>
      </c>
      <c r="Q95" s="2">
        <f t="shared" si="61"/>
        <v>243081.66</v>
      </c>
      <c r="R95" s="2">
        <f t="shared" si="61"/>
        <v>25036.33</v>
      </c>
      <c r="S95" s="2">
        <f t="shared" si="61"/>
        <v>2042960.28</v>
      </c>
      <c r="T95" s="2">
        <f t="shared" si="61"/>
        <v>0</v>
      </c>
      <c r="U95" s="2">
        <f>U59</f>
        <v>8342.321648000001</v>
      </c>
      <c r="V95" s="2">
        <f>V59</f>
        <v>84.828400000000002</v>
      </c>
      <c r="W95" s="2">
        <f>ROUND(W59,2)</f>
        <v>0</v>
      </c>
      <c r="X95" s="2">
        <f>ROUND(X59,2)</f>
        <v>1708084.15</v>
      </c>
      <c r="Y95" s="2">
        <f>ROUND(Y59,2)</f>
        <v>1011088.96</v>
      </c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>
        <f t="shared" ref="AO95:BC95" si="62">ROUND(AO59,2)</f>
        <v>0</v>
      </c>
      <c r="AP95" s="2">
        <f t="shared" si="62"/>
        <v>0</v>
      </c>
      <c r="AQ95" s="2">
        <f t="shared" si="62"/>
        <v>0</v>
      </c>
      <c r="AR95" s="2">
        <f t="shared" si="62"/>
        <v>17477381.780000001</v>
      </c>
      <c r="AS95" s="2">
        <f t="shared" si="62"/>
        <v>17477381.780000001</v>
      </c>
      <c r="AT95" s="2">
        <f t="shared" si="62"/>
        <v>0</v>
      </c>
      <c r="AU95" s="2">
        <f t="shared" si="62"/>
        <v>0</v>
      </c>
      <c r="AV95" s="2">
        <f t="shared" si="62"/>
        <v>12457828.619999999</v>
      </c>
      <c r="AW95" s="2">
        <f t="shared" si="62"/>
        <v>12457828.619999999</v>
      </c>
      <c r="AX95" s="2">
        <f t="shared" si="62"/>
        <v>0</v>
      </c>
      <c r="AY95" s="2">
        <f t="shared" si="62"/>
        <v>12457828.619999999</v>
      </c>
      <c r="AZ95" s="2">
        <f t="shared" si="62"/>
        <v>0</v>
      </c>
      <c r="BA95" s="2">
        <f t="shared" si="62"/>
        <v>0</v>
      </c>
      <c r="BB95" s="2">
        <f t="shared" si="62"/>
        <v>0</v>
      </c>
      <c r="BC95" s="2">
        <f t="shared" si="62"/>
        <v>0</v>
      </c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>
        <v>0</v>
      </c>
    </row>
    <row r="97" spans="1:23">
      <c r="A97" s="4">
        <v>50</v>
      </c>
      <c r="B97" s="4">
        <v>0</v>
      </c>
      <c r="C97" s="4">
        <v>0</v>
      </c>
      <c r="D97" s="4">
        <v>1</v>
      </c>
      <c r="E97" s="4">
        <v>201</v>
      </c>
      <c r="F97" s="4">
        <f>ROUND(Source!O95,O97)</f>
        <v>14743870.560000001</v>
      </c>
      <c r="G97" s="4" t="s">
        <v>168</v>
      </c>
      <c r="H97" s="4" t="s">
        <v>169</v>
      </c>
      <c r="I97" s="4"/>
      <c r="J97" s="4"/>
      <c r="K97" s="4">
        <v>201</v>
      </c>
      <c r="L97" s="4">
        <v>1</v>
      </c>
      <c r="M97" s="4">
        <v>3</v>
      </c>
      <c r="N97" s="4" t="s">
        <v>6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>
      <c r="A98" s="4">
        <v>50</v>
      </c>
      <c r="B98" s="4">
        <v>0</v>
      </c>
      <c r="C98" s="4">
        <v>0</v>
      </c>
      <c r="D98" s="4">
        <v>1</v>
      </c>
      <c r="E98" s="4">
        <v>202</v>
      </c>
      <c r="F98" s="4">
        <f>ROUND(Source!P95,O98)</f>
        <v>12457828.619999999</v>
      </c>
      <c r="G98" s="4" t="s">
        <v>170</v>
      </c>
      <c r="H98" s="4" t="s">
        <v>171</v>
      </c>
      <c r="I98" s="4"/>
      <c r="J98" s="4"/>
      <c r="K98" s="4">
        <v>202</v>
      </c>
      <c r="L98" s="4">
        <v>2</v>
      </c>
      <c r="M98" s="4">
        <v>3</v>
      </c>
      <c r="N98" s="4" t="s">
        <v>6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>
      <c r="A99" s="4">
        <v>50</v>
      </c>
      <c r="B99" s="4">
        <v>0</v>
      </c>
      <c r="C99" s="4">
        <v>0</v>
      </c>
      <c r="D99" s="4">
        <v>1</v>
      </c>
      <c r="E99" s="4">
        <v>222</v>
      </c>
      <c r="F99" s="4">
        <f>ROUND(Source!AO95,O99)</f>
        <v>0</v>
      </c>
      <c r="G99" s="4" t="s">
        <v>172</v>
      </c>
      <c r="H99" s="4" t="s">
        <v>173</v>
      </c>
      <c r="I99" s="4"/>
      <c r="J99" s="4"/>
      <c r="K99" s="4">
        <v>222</v>
      </c>
      <c r="L99" s="4">
        <v>3</v>
      </c>
      <c r="M99" s="4">
        <v>3</v>
      </c>
      <c r="N99" s="4" t="s">
        <v>6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>
      <c r="A100" s="4">
        <v>50</v>
      </c>
      <c r="B100" s="4">
        <v>0</v>
      </c>
      <c r="C100" s="4">
        <v>0</v>
      </c>
      <c r="D100" s="4">
        <v>1</v>
      </c>
      <c r="E100" s="4">
        <v>225</v>
      </c>
      <c r="F100" s="4">
        <f>ROUND(Source!AV95,O100)</f>
        <v>12457828.619999999</v>
      </c>
      <c r="G100" s="4" t="s">
        <v>174</v>
      </c>
      <c r="H100" s="4" t="s">
        <v>175</v>
      </c>
      <c r="I100" s="4"/>
      <c r="J100" s="4"/>
      <c r="K100" s="4">
        <v>225</v>
      </c>
      <c r="L100" s="4">
        <v>4</v>
      </c>
      <c r="M100" s="4">
        <v>3</v>
      </c>
      <c r="N100" s="4" t="s">
        <v>6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>
      <c r="A101" s="4">
        <v>50</v>
      </c>
      <c r="B101" s="4">
        <v>0</v>
      </c>
      <c r="C101" s="4">
        <v>0</v>
      </c>
      <c r="D101" s="4">
        <v>1</v>
      </c>
      <c r="E101" s="4">
        <v>226</v>
      </c>
      <c r="F101" s="4">
        <f>ROUND(Source!AW95,O101)</f>
        <v>12457828.619999999</v>
      </c>
      <c r="G101" s="4" t="s">
        <v>176</v>
      </c>
      <c r="H101" s="4" t="s">
        <v>177</v>
      </c>
      <c r="I101" s="4"/>
      <c r="J101" s="4"/>
      <c r="K101" s="4">
        <v>226</v>
      </c>
      <c r="L101" s="4">
        <v>5</v>
      </c>
      <c r="M101" s="4">
        <v>3</v>
      </c>
      <c r="N101" s="4" t="s">
        <v>6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>
      <c r="A102" s="4">
        <v>50</v>
      </c>
      <c r="B102" s="4">
        <v>0</v>
      </c>
      <c r="C102" s="4">
        <v>0</v>
      </c>
      <c r="D102" s="4">
        <v>1</v>
      </c>
      <c r="E102" s="4">
        <v>227</v>
      </c>
      <c r="F102" s="4">
        <f>ROUND(Source!AX95,O102)</f>
        <v>0</v>
      </c>
      <c r="G102" s="4" t="s">
        <v>178</v>
      </c>
      <c r="H102" s="4" t="s">
        <v>179</v>
      </c>
      <c r="I102" s="4"/>
      <c r="J102" s="4"/>
      <c r="K102" s="4">
        <v>227</v>
      </c>
      <c r="L102" s="4">
        <v>6</v>
      </c>
      <c r="M102" s="4">
        <v>3</v>
      </c>
      <c r="N102" s="4" t="s">
        <v>6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>
      <c r="A103" s="4">
        <v>50</v>
      </c>
      <c r="B103" s="4">
        <v>0</v>
      </c>
      <c r="C103" s="4">
        <v>0</v>
      </c>
      <c r="D103" s="4">
        <v>1</v>
      </c>
      <c r="E103" s="4">
        <v>228</v>
      </c>
      <c r="F103" s="4">
        <f>ROUND(Source!AY95,O103)</f>
        <v>12457828.619999999</v>
      </c>
      <c r="G103" s="4" t="s">
        <v>180</v>
      </c>
      <c r="H103" s="4" t="s">
        <v>181</v>
      </c>
      <c r="I103" s="4"/>
      <c r="J103" s="4"/>
      <c r="K103" s="4">
        <v>228</v>
      </c>
      <c r="L103" s="4">
        <v>7</v>
      </c>
      <c r="M103" s="4">
        <v>3</v>
      </c>
      <c r="N103" s="4" t="s">
        <v>6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>
      <c r="A104" s="4">
        <v>50</v>
      </c>
      <c r="B104" s="4">
        <v>0</v>
      </c>
      <c r="C104" s="4">
        <v>0</v>
      </c>
      <c r="D104" s="4">
        <v>1</v>
      </c>
      <c r="E104" s="4">
        <v>216</v>
      </c>
      <c r="F104" s="4">
        <f>ROUND(Source!AP95,O104)</f>
        <v>0</v>
      </c>
      <c r="G104" s="4" t="s">
        <v>182</v>
      </c>
      <c r="H104" s="4" t="s">
        <v>183</v>
      </c>
      <c r="I104" s="4"/>
      <c r="J104" s="4"/>
      <c r="K104" s="4">
        <v>216</v>
      </c>
      <c r="L104" s="4">
        <v>8</v>
      </c>
      <c r="M104" s="4">
        <v>3</v>
      </c>
      <c r="N104" s="4" t="s">
        <v>6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>
      <c r="A105" s="4">
        <v>50</v>
      </c>
      <c r="B105" s="4">
        <v>0</v>
      </c>
      <c r="C105" s="4">
        <v>0</v>
      </c>
      <c r="D105" s="4">
        <v>1</v>
      </c>
      <c r="E105" s="4">
        <v>223</v>
      </c>
      <c r="F105" s="4">
        <f>ROUND(Source!AQ95,O105)</f>
        <v>0</v>
      </c>
      <c r="G105" s="4" t="s">
        <v>184</v>
      </c>
      <c r="H105" s="4" t="s">
        <v>185</v>
      </c>
      <c r="I105" s="4"/>
      <c r="J105" s="4"/>
      <c r="K105" s="4">
        <v>223</v>
      </c>
      <c r="L105" s="4">
        <v>9</v>
      </c>
      <c r="M105" s="4">
        <v>3</v>
      </c>
      <c r="N105" s="4" t="s">
        <v>6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3">
      <c r="A106" s="4">
        <v>50</v>
      </c>
      <c r="B106" s="4">
        <v>0</v>
      </c>
      <c r="C106" s="4">
        <v>0</v>
      </c>
      <c r="D106" s="4">
        <v>1</v>
      </c>
      <c r="E106" s="4">
        <v>229</v>
      </c>
      <c r="F106" s="4">
        <f>ROUND(Source!AZ95,O106)</f>
        <v>0</v>
      </c>
      <c r="G106" s="4" t="s">
        <v>186</v>
      </c>
      <c r="H106" s="4" t="s">
        <v>187</v>
      </c>
      <c r="I106" s="4"/>
      <c r="J106" s="4"/>
      <c r="K106" s="4">
        <v>229</v>
      </c>
      <c r="L106" s="4">
        <v>10</v>
      </c>
      <c r="M106" s="4">
        <v>3</v>
      </c>
      <c r="N106" s="4" t="s">
        <v>6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3">
      <c r="A107" s="4">
        <v>50</v>
      </c>
      <c r="B107" s="4">
        <v>0</v>
      </c>
      <c r="C107" s="4">
        <v>0</v>
      </c>
      <c r="D107" s="4">
        <v>1</v>
      </c>
      <c r="E107" s="4">
        <v>203</v>
      </c>
      <c r="F107" s="4">
        <f>ROUND(Source!Q95,O107)</f>
        <v>243081.66</v>
      </c>
      <c r="G107" s="4" t="s">
        <v>188</v>
      </c>
      <c r="H107" s="4" t="s">
        <v>189</v>
      </c>
      <c r="I107" s="4"/>
      <c r="J107" s="4"/>
      <c r="K107" s="4">
        <v>203</v>
      </c>
      <c r="L107" s="4">
        <v>11</v>
      </c>
      <c r="M107" s="4">
        <v>3</v>
      </c>
      <c r="N107" s="4" t="s">
        <v>6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3">
      <c r="A108" s="4">
        <v>50</v>
      </c>
      <c r="B108" s="4">
        <v>0</v>
      </c>
      <c r="C108" s="4">
        <v>0</v>
      </c>
      <c r="D108" s="4">
        <v>1</v>
      </c>
      <c r="E108" s="4">
        <v>231</v>
      </c>
      <c r="F108" s="4">
        <f>ROUND(Source!BB95,O108)</f>
        <v>0</v>
      </c>
      <c r="G108" s="4" t="s">
        <v>190</v>
      </c>
      <c r="H108" s="4" t="s">
        <v>191</v>
      </c>
      <c r="I108" s="4"/>
      <c r="J108" s="4"/>
      <c r="K108" s="4">
        <v>231</v>
      </c>
      <c r="L108" s="4">
        <v>12</v>
      </c>
      <c r="M108" s="4">
        <v>3</v>
      </c>
      <c r="N108" s="4" t="s">
        <v>6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3">
      <c r="A109" s="4">
        <v>50</v>
      </c>
      <c r="B109" s="4">
        <v>0</v>
      </c>
      <c r="C109" s="4">
        <v>0</v>
      </c>
      <c r="D109" s="4">
        <v>1</v>
      </c>
      <c r="E109" s="4">
        <v>204</v>
      </c>
      <c r="F109" s="4">
        <f>ROUND(Source!R95,O109)</f>
        <v>25036.33</v>
      </c>
      <c r="G109" s="4" t="s">
        <v>192</v>
      </c>
      <c r="H109" s="4" t="s">
        <v>193</v>
      </c>
      <c r="I109" s="4"/>
      <c r="J109" s="4"/>
      <c r="K109" s="4">
        <v>204</v>
      </c>
      <c r="L109" s="4">
        <v>13</v>
      </c>
      <c r="M109" s="4">
        <v>3</v>
      </c>
      <c r="N109" s="4" t="s">
        <v>6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3">
      <c r="A110" s="4">
        <v>50</v>
      </c>
      <c r="B110" s="4">
        <v>0</v>
      </c>
      <c r="C110" s="4">
        <v>0</v>
      </c>
      <c r="D110" s="4">
        <v>1</v>
      </c>
      <c r="E110" s="4">
        <v>205</v>
      </c>
      <c r="F110" s="4">
        <f>ROUND(Source!S95,O110)</f>
        <v>2042960.28</v>
      </c>
      <c r="G110" s="4" t="s">
        <v>194</v>
      </c>
      <c r="H110" s="4" t="s">
        <v>195</v>
      </c>
      <c r="I110" s="4"/>
      <c r="J110" s="4"/>
      <c r="K110" s="4">
        <v>205</v>
      </c>
      <c r="L110" s="4">
        <v>14</v>
      </c>
      <c r="M110" s="4">
        <v>3</v>
      </c>
      <c r="N110" s="4" t="s">
        <v>6</v>
      </c>
      <c r="O110" s="4">
        <v>2</v>
      </c>
      <c r="P110" s="4"/>
      <c r="Q110" s="4"/>
      <c r="R110" s="4"/>
      <c r="S110" s="4"/>
      <c r="T110" s="4"/>
      <c r="U110" s="4"/>
      <c r="V110" s="4"/>
      <c r="W110" s="4"/>
    </row>
    <row r="111" spans="1:23">
      <c r="A111" s="4">
        <v>50</v>
      </c>
      <c r="B111" s="4">
        <v>0</v>
      </c>
      <c r="C111" s="4">
        <v>0</v>
      </c>
      <c r="D111" s="4">
        <v>1</v>
      </c>
      <c r="E111" s="4">
        <v>232</v>
      </c>
      <c r="F111" s="4">
        <f>ROUND(Source!BC95,O111)</f>
        <v>0</v>
      </c>
      <c r="G111" s="4" t="s">
        <v>196</v>
      </c>
      <c r="H111" s="4" t="s">
        <v>197</v>
      </c>
      <c r="I111" s="4"/>
      <c r="J111" s="4"/>
      <c r="K111" s="4">
        <v>232</v>
      </c>
      <c r="L111" s="4">
        <v>15</v>
      </c>
      <c r="M111" s="4">
        <v>3</v>
      </c>
      <c r="N111" s="4" t="s">
        <v>6</v>
      </c>
      <c r="O111" s="4">
        <v>2</v>
      </c>
      <c r="P111" s="4"/>
      <c r="Q111" s="4"/>
      <c r="R111" s="4"/>
      <c r="S111" s="4"/>
      <c r="T111" s="4"/>
      <c r="U111" s="4"/>
      <c r="V111" s="4"/>
      <c r="W111" s="4"/>
    </row>
    <row r="112" spans="1:23">
      <c r="A112" s="4">
        <v>50</v>
      </c>
      <c r="B112" s="4">
        <v>0</v>
      </c>
      <c r="C112" s="4">
        <v>0</v>
      </c>
      <c r="D112" s="4">
        <v>1</v>
      </c>
      <c r="E112" s="4">
        <v>214</v>
      </c>
      <c r="F112" s="4">
        <f>ROUND(Source!AS95,O112)</f>
        <v>17477381.780000001</v>
      </c>
      <c r="G112" s="4" t="s">
        <v>198</v>
      </c>
      <c r="H112" s="4" t="s">
        <v>199</v>
      </c>
      <c r="I112" s="4"/>
      <c r="J112" s="4"/>
      <c r="K112" s="4">
        <v>214</v>
      </c>
      <c r="L112" s="4">
        <v>16</v>
      </c>
      <c r="M112" s="4">
        <v>3</v>
      </c>
      <c r="N112" s="4" t="s">
        <v>6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3">
      <c r="A113" s="4">
        <v>50</v>
      </c>
      <c r="B113" s="4">
        <v>0</v>
      </c>
      <c r="C113" s="4">
        <v>0</v>
      </c>
      <c r="D113" s="4">
        <v>1</v>
      </c>
      <c r="E113" s="4">
        <v>215</v>
      </c>
      <c r="F113" s="4">
        <f>ROUND(Source!AT95,O113)</f>
        <v>0</v>
      </c>
      <c r="G113" s="4" t="s">
        <v>200</v>
      </c>
      <c r="H113" s="4" t="s">
        <v>201</v>
      </c>
      <c r="I113" s="4"/>
      <c r="J113" s="4"/>
      <c r="K113" s="4">
        <v>215</v>
      </c>
      <c r="L113" s="4">
        <v>17</v>
      </c>
      <c r="M113" s="4">
        <v>3</v>
      </c>
      <c r="N113" s="4" t="s">
        <v>6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3">
      <c r="A114" s="4">
        <v>50</v>
      </c>
      <c r="B114" s="4">
        <v>0</v>
      </c>
      <c r="C114" s="4">
        <v>0</v>
      </c>
      <c r="D114" s="4">
        <v>1</v>
      </c>
      <c r="E114" s="4">
        <v>217</v>
      </c>
      <c r="F114" s="4">
        <f>ROUND(Source!AU95,O114)</f>
        <v>0</v>
      </c>
      <c r="G114" s="4" t="s">
        <v>202</v>
      </c>
      <c r="H114" s="4" t="s">
        <v>203</v>
      </c>
      <c r="I114" s="4"/>
      <c r="J114" s="4"/>
      <c r="K114" s="4">
        <v>217</v>
      </c>
      <c r="L114" s="4">
        <v>18</v>
      </c>
      <c r="M114" s="4">
        <v>3</v>
      </c>
      <c r="N114" s="4" t="s">
        <v>6</v>
      </c>
      <c r="O114" s="4">
        <v>2</v>
      </c>
      <c r="P114" s="4"/>
      <c r="Q114" s="4"/>
      <c r="R114" s="4"/>
      <c r="S114" s="4"/>
      <c r="T114" s="4"/>
      <c r="U114" s="4"/>
      <c r="V114" s="4"/>
      <c r="W114" s="4"/>
    </row>
    <row r="115" spans="1:23">
      <c r="A115" s="4">
        <v>50</v>
      </c>
      <c r="B115" s="4">
        <v>0</v>
      </c>
      <c r="C115" s="4">
        <v>0</v>
      </c>
      <c r="D115" s="4">
        <v>1</v>
      </c>
      <c r="E115" s="4">
        <v>230</v>
      </c>
      <c r="F115" s="4">
        <f>ROUND(Source!BA95,O115)</f>
        <v>0</v>
      </c>
      <c r="G115" s="4" t="s">
        <v>204</v>
      </c>
      <c r="H115" s="4" t="s">
        <v>205</v>
      </c>
      <c r="I115" s="4"/>
      <c r="J115" s="4"/>
      <c r="K115" s="4">
        <v>230</v>
      </c>
      <c r="L115" s="4">
        <v>19</v>
      </c>
      <c r="M115" s="4">
        <v>3</v>
      </c>
      <c r="N115" s="4" t="s">
        <v>6</v>
      </c>
      <c r="O115" s="4">
        <v>2</v>
      </c>
      <c r="P115" s="4"/>
      <c r="Q115" s="4"/>
      <c r="R115" s="4"/>
      <c r="S115" s="4"/>
      <c r="T115" s="4"/>
      <c r="U115" s="4"/>
      <c r="V115" s="4"/>
      <c r="W115" s="4"/>
    </row>
    <row r="116" spans="1:23">
      <c r="A116" s="4">
        <v>50</v>
      </c>
      <c r="B116" s="4">
        <v>0</v>
      </c>
      <c r="C116" s="4">
        <v>0</v>
      </c>
      <c r="D116" s="4">
        <v>1</v>
      </c>
      <c r="E116" s="4">
        <v>206</v>
      </c>
      <c r="F116" s="4">
        <f>ROUND(Source!T95,O116)</f>
        <v>0</v>
      </c>
      <c r="G116" s="4" t="s">
        <v>206</v>
      </c>
      <c r="H116" s="4" t="s">
        <v>207</v>
      </c>
      <c r="I116" s="4"/>
      <c r="J116" s="4"/>
      <c r="K116" s="4">
        <v>206</v>
      </c>
      <c r="L116" s="4">
        <v>20</v>
      </c>
      <c r="M116" s="4">
        <v>3</v>
      </c>
      <c r="N116" s="4" t="s">
        <v>6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3">
      <c r="A117" s="4">
        <v>50</v>
      </c>
      <c r="B117" s="4">
        <v>0</v>
      </c>
      <c r="C117" s="4">
        <v>0</v>
      </c>
      <c r="D117" s="4">
        <v>1</v>
      </c>
      <c r="E117" s="4">
        <v>207</v>
      </c>
      <c r="F117" s="4">
        <f>Source!U95</f>
        <v>8342.321648000001</v>
      </c>
      <c r="G117" s="4" t="s">
        <v>208</v>
      </c>
      <c r="H117" s="4" t="s">
        <v>209</v>
      </c>
      <c r="I117" s="4"/>
      <c r="J117" s="4"/>
      <c r="K117" s="4">
        <v>207</v>
      </c>
      <c r="L117" s="4">
        <v>21</v>
      </c>
      <c r="M117" s="4">
        <v>3</v>
      </c>
      <c r="N117" s="4" t="s">
        <v>6</v>
      </c>
      <c r="O117" s="4">
        <v>-1</v>
      </c>
      <c r="P117" s="4"/>
      <c r="Q117" s="4"/>
      <c r="R117" s="4"/>
      <c r="S117" s="4"/>
      <c r="T117" s="4"/>
      <c r="U117" s="4"/>
      <c r="V117" s="4"/>
      <c r="W117" s="4"/>
    </row>
    <row r="118" spans="1:23">
      <c r="A118" s="4">
        <v>50</v>
      </c>
      <c r="B118" s="4">
        <v>0</v>
      </c>
      <c r="C118" s="4">
        <v>0</v>
      </c>
      <c r="D118" s="4">
        <v>1</v>
      </c>
      <c r="E118" s="4">
        <v>208</v>
      </c>
      <c r="F118" s="4">
        <f>Source!V95</f>
        <v>84.828400000000002</v>
      </c>
      <c r="G118" s="4" t="s">
        <v>210</v>
      </c>
      <c r="H118" s="4" t="s">
        <v>211</v>
      </c>
      <c r="I118" s="4"/>
      <c r="J118" s="4"/>
      <c r="K118" s="4">
        <v>208</v>
      </c>
      <c r="L118" s="4">
        <v>22</v>
      </c>
      <c r="M118" s="4">
        <v>3</v>
      </c>
      <c r="N118" s="4" t="s">
        <v>6</v>
      </c>
      <c r="O118" s="4">
        <v>-1</v>
      </c>
      <c r="P118" s="4"/>
      <c r="Q118" s="4"/>
      <c r="R118" s="4"/>
      <c r="S118" s="4"/>
      <c r="T118" s="4"/>
      <c r="U118" s="4"/>
      <c r="V118" s="4"/>
      <c r="W118" s="4"/>
    </row>
    <row r="119" spans="1:23">
      <c r="A119" s="4">
        <v>50</v>
      </c>
      <c r="B119" s="4">
        <v>0</v>
      </c>
      <c r="C119" s="4">
        <v>0</v>
      </c>
      <c r="D119" s="4">
        <v>1</v>
      </c>
      <c r="E119" s="4">
        <v>209</v>
      </c>
      <c r="F119" s="4">
        <f>ROUND(Source!W95,O119)</f>
        <v>0</v>
      </c>
      <c r="G119" s="4" t="s">
        <v>212</v>
      </c>
      <c r="H119" s="4" t="s">
        <v>213</v>
      </c>
      <c r="I119" s="4"/>
      <c r="J119" s="4"/>
      <c r="K119" s="4">
        <v>209</v>
      </c>
      <c r="L119" s="4">
        <v>23</v>
      </c>
      <c r="M119" s="4">
        <v>3</v>
      </c>
      <c r="N119" s="4" t="s">
        <v>6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3">
      <c r="A120" s="4">
        <v>50</v>
      </c>
      <c r="B120" s="4">
        <v>0</v>
      </c>
      <c r="C120" s="4">
        <v>0</v>
      </c>
      <c r="D120" s="4">
        <v>1</v>
      </c>
      <c r="E120" s="4">
        <v>210</v>
      </c>
      <c r="F120" s="4">
        <f>ROUND(Source!X95,O120)</f>
        <v>1708084.15</v>
      </c>
      <c r="G120" s="4" t="s">
        <v>214</v>
      </c>
      <c r="H120" s="4" t="s">
        <v>215</v>
      </c>
      <c r="I120" s="4"/>
      <c r="J120" s="4"/>
      <c r="K120" s="4">
        <v>210</v>
      </c>
      <c r="L120" s="4">
        <v>24</v>
      </c>
      <c r="M120" s="4">
        <v>3</v>
      </c>
      <c r="N120" s="4" t="s">
        <v>6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3">
      <c r="A121" s="4">
        <v>50</v>
      </c>
      <c r="B121" s="4">
        <v>0</v>
      </c>
      <c r="C121" s="4">
        <v>0</v>
      </c>
      <c r="D121" s="4">
        <v>1</v>
      </c>
      <c r="E121" s="4">
        <v>211</v>
      </c>
      <c r="F121" s="4">
        <f>ROUND(Source!Y95,O121)</f>
        <v>1011088.96</v>
      </c>
      <c r="G121" s="4" t="s">
        <v>216</v>
      </c>
      <c r="H121" s="4" t="s">
        <v>217</v>
      </c>
      <c r="I121" s="4"/>
      <c r="J121" s="4"/>
      <c r="K121" s="4">
        <v>211</v>
      </c>
      <c r="L121" s="4">
        <v>25</v>
      </c>
      <c r="M121" s="4">
        <v>3</v>
      </c>
      <c r="N121" s="4" t="s">
        <v>6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3">
      <c r="A122" s="4">
        <v>50</v>
      </c>
      <c r="B122" s="4">
        <v>0</v>
      </c>
      <c r="C122" s="4">
        <v>0</v>
      </c>
      <c r="D122" s="4">
        <v>1</v>
      </c>
      <c r="E122" s="4">
        <v>224</v>
      </c>
      <c r="F122" s="4">
        <f>ROUND(Source!AR95,O122)</f>
        <v>17477381.780000001</v>
      </c>
      <c r="G122" s="4" t="s">
        <v>218</v>
      </c>
      <c r="H122" s="4" t="s">
        <v>219</v>
      </c>
      <c r="I122" s="4"/>
      <c r="J122" s="4"/>
      <c r="K122" s="4">
        <v>224</v>
      </c>
      <c r="L122" s="4">
        <v>26</v>
      </c>
      <c r="M122" s="4">
        <v>3</v>
      </c>
      <c r="N122" s="4" t="s">
        <v>6</v>
      </c>
      <c r="O122" s="4">
        <v>2</v>
      </c>
      <c r="P122" s="4"/>
      <c r="Q122" s="4"/>
      <c r="R122" s="4"/>
      <c r="S122" s="4"/>
      <c r="T122" s="4"/>
      <c r="U122" s="4"/>
      <c r="V122" s="4"/>
      <c r="W122" s="4"/>
    </row>
    <row r="125" spans="1:23">
      <c r="A125">
        <v>70</v>
      </c>
      <c r="B125">
        <v>1</v>
      </c>
      <c r="D125">
        <v>1</v>
      </c>
      <c r="E125" t="s">
        <v>229</v>
      </c>
      <c r="F125" t="s">
        <v>230</v>
      </c>
      <c r="G125">
        <v>0</v>
      </c>
      <c r="H125">
        <v>0</v>
      </c>
      <c r="I125" t="s">
        <v>6</v>
      </c>
      <c r="J125">
        <v>1</v>
      </c>
      <c r="K125">
        <v>0</v>
      </c>
      <c r="L125" t="s">
        <v>6</v>
      </c>
      <c r="M125" t="s">
        <v>6</v>
      </c>
      <c r="N125">
        <v>0</v>
      </c>
    </row>
    <row r="126" spans="1:23">
      <c r="A126">
        <v>70</v>
      </c>
      <c r="B126">
        <v>1</v>
      </c>
      <c r="D126">
        <v>2</v>
      </c>
      <c r="E126" t="s">
        <v>231</v>
      </c>
      <c r="F126" t="s">
        <v>232</v>
      </c>
      <c r="G126">
        <v>0</v>
      </c>
      <c r="H126">
        <v>0</v>
      </c>
      <c r="I126" t="s">
        <v>6</v>
      </c>
      <c r="J126">
        <v>1</v>
      </c>
      <c r="K126">
        <v>0</v>
      </c>
      <c r="L126" t="s">
        <v>6</v>
      </c>
      <c r="M126" t="s">
        <v>6</v>
      </c>
      <c r="N126">
        <v>0</v>
      </c>
    </row>
    <row r="127" spans="1:23">
      <c r="A127">
        <v>70</v>
      </c>
      <c r="B127">
        <v>1</v>
      </c>
      <c r="D127">
        <v>3</v>
      </c>
      <c r="E127" t="s">
        <v>233</v>
      </c>
      <c r="F127" t="s">
        <v>234</v>
      </c>
      <c r="G127">
        <v>1</v>
      </c>
      <c r="H127">
        <v>0</v>
      </c>
      <c r="I127" t="s">
        <v>6</v>
      </c>
      <c r="J127">
        <v>1</v>
      </c>
      <c r="K127">
        <v>0</v>
      </c>
      <c r="L127" t="s">
        <v>6</v>
      </c>
      <c r="M127" t="s">
        <v>6</v>
      </c>
      <c r="N127">
        <v>0</v>
      </c>
    </row>
    <row r="128" spans="1:23">
      <c r="A128">
        <v>70</v>
      </c>
      <c r="B128">
        <v>1</v>
      </c>
      <c r="D128">
        <v>4</v>
      </c>
      <c r="E128" t="s">
        <v>235</v>
      </c>
      <c r="F128" t="s">
        <v>236</v>
      </c>
      <c r="G128">
        <v>0</v>
      </c>
      <c r="H128">
        <v>0</v>
      </c>
      <c r="I128" t="s">
        <v>237</v>
      </c>
      <c r="J128">
        <v>0</v>
      </c>
      <c r="K128">
        <v>0</v>
      </c>
      <c r="L128" t="s">
        <v>6</v>
      </c>
      <c r="M128" t="s">
        <v>6</v>
      </c>
      <c r="N128">
        <v>0</v>
      </c>
    </row>
    <row r="129" spans="1:14">
      <c r="A129">
        <v>70</v>
      </c>
      <c r="B129">
        <v>1</v>
      </c>
      <c r="D129">
        <v>5</v>
      </c>
      <c r="E129" t="s">
        <v>238</v>
      </c>
      <c r="F129" t="s">
        <v>239</v>
      </c>
      <c r="G129">
        <v>0</v>
      </c>
      <c r="H129">
        <v>0</v>
      </c>
      <c r="I129" t="s">
        <v>240</v>
      </c>
      <c r="J129">
        <v>0</v>
      </c>
      <c r="K129">
        <v>0</v>
      </c>
      <c r="L129" t="s">
        <v>6</v>
      </c>
      <c r="M129" t="s">
        <v>6</v>
      </c>
      <c r="N129">
        <v>0</v>
      </c>
    </row>
    <row r="130" spans="1:14">
      <c r="A130">
        <v>70</v>
      </c>
      <c r="B130">
        <v>1</v>
      </c>
      <c r="D130">
        <v>6</v>
      </c>
      <c r="E130" t="s">
        <v>241</v>
      </c>
      <c r="F130" t="s">
        <v>242</v>
      </c>
      <c r="G130">
        <v>0</v>
      </c>
      <c r="H130">
        <v>0</v>
      </c>
      <c r="I130" t="s">
        <v>243</v>
      </c>
      <c r="J130">
        <v>0</v>
      </c>
      <c r="K130">
        <v>0</v>
      </c>
      <c r="L130" t="s">
        <v>6</v>
      </c>
      <c r="M130" t="s">
        <v>6</v>
      </c>
      <c r="N130">
        <v>0</v>
      </c>
    </row>
    <row r="131" spans="1:14">
      <c r="A131">
        <v>70</v>
      </c>
      <c r="B131">
        <v>1</v>
      </c>
      <c r="D131">
        <v>7</v>
      </c>
      <c r="E131" t="s">
        <v>244</v>
      </c>
      <c r="F131" t="s">
        <v>245</v>
      </c>
      <c r="G131">
        <v>0</v>
      </c>
      <c r="H131">
        <v>0</v>
      </c>
      <c r="I131" t="s">
        <v>6</v>
      </c>
      <c r="J131">
        <v>0</v>
      </c>
      <c r="K131">
        <v>0</v>
      </c>
      <c r="L131" t="s">
        <v>6</v>
      </c>
      <c r="M131" t="s">
        <v>6</v>
      </c>
      <c r="N131">
        <v>0</v>
      </c>
    </row>
    <row r="132" spans="1:14">
      <c r="A132">
        <v>70</v>
      </c>
      <c r="B132">
        <v>1</v>
      </c>
      <c r="D132">
        <v>8</v>
      </c>
      <c r="E132" t="s">
        <v>246</v>
      </c>
      <c r="F132" t="s">
        <v>247</v>
      </c>
      <c r="G132">
        <v>0</v>
      </c>
      <c r="H132">
        <v>0</v>
      </c>
      <c r="I132" t="s">
        <v>248</v>
      </c>
      <c r="J132">
        <v>0</v>
      </c>
      <c r="K132">
        <v>0</v>
      </c>
      <c r="L132" t="s">
        <v>6</v>
      </c>
      <c r="M132" t="s">
        <v>6</v>
      </c>
      <c r="N132">
        <v>0</v>
      </c>
    </row>
    <row r="133" spans="1:14">
      <c r="A133">
        <v>70</v>
      </c>
      <c r="B133">
        <v>1</v>
      </c>
      <c r="D133">
        <v>9</v>
      </c>
      <c r="E133" t="s">
        <v>249</v>
      </c>
      <c r="F133" t="s">
        <v>250</v>
      </c>
      <c r="G133">
        <v>0</v>
      </c>
      <c r="H133">
        <v>0</v>
      </c>
      <c r="I133" t="s">
        <v>251</v>
      </c>
      <c r="J133">
        <v>0</v>
      </c>
      <c r="K133">
        <v>0</v>
      </c>
      <c r="L133" t="s">
        <v>6</v>
      </c>
      <c r="M133" t="s">
        <v>6</v>
      </c>
      <c r="N133">
        <v>0</v>
      </c>
    </row>
    <row r="134" spans="1:14">
      <c r="A134">
        <v>70</v>
      </c>
      <c r="B134">
        <v>1</v>
      </c>
      <c r="D134">
        <v>10</v>
      </c>
      <c r="E134" t="s">
        <v>252</v>
      </c>
      <c r="F134" t="s">
        <v>253</v>
      </c>
      <c r="G134">
        <v>0</v>
      </c>
      <c r="H134">
        <v>0</v>
      </c>
      <c r="I134" t="s">
        <v>254</v>
      </c>
      <c r="J134">
        <v>0</v>
      </c>
      <c r="K134">
        <v>0</v>
      </c>
      <c r="L134" t="s">
        <v>6</v>
      </c>
      <c r="M134" t="s">
        <v>6</v>
      </c>
      <c r="N134">
        <v>0</v>
      </c>
    </row>
    <row r="135" spans="1:14">
      <c r="A135">
        <v>70</v>
      </c>
      <c r="B135">
        <v>1</v>
      </c>
      <c r="D135">
        <v>11</v>
      </c>
      <c r="E135" t="s">
        <v>255</v>
      </c>
      <c r="F135" t="s">
        <v>256</v>
      </c>
      <c r="G135">
        <v>0</v>
      </c>
      <c r="H135">
        <v>0</v>
      </c>
      <c r="I135" t="s">
        <v>257</v>
      </c>
      <c r="J135">
        <v>0</v>
      </c>
      <c r="K135">
        <v>0</v>
      </c>
      <c r="L135" t="s">
        <v>6</v>
      </c>
      <c r="M135" t="s">
        <v>6</v>
      </c>
      <c r="N135">
        <v>0</v>
      </c>
    </row>
    <row r="136" spans="1:14">
      <c r="A136">
        <v>70</v>
      </c>
      <c r="B136">
        <v>1</v>
      </c>
      <c r="D136">
        <v>12</v>
      </c>
      <c r="E136" t="s">
        <v>258</v>
      </c>
      <c r="F136" t="s">
        <v>259</v>
      </c>
      <c r="G136">
        <v>0</v>
      </c>
      <c r="H136">
        <v>0</v>
      </c>
      <c r="I136" t="s">
        <v>6</v>
      </c>
      <c r="J136">
        <v>0</v>
      </c>
      <c r="K136">
        <v>0</v>
      </c>
      <c r="L136" t="s">
        <v>6</v>
      </c>
      <c r="M136" t="s">
        <v>6</v>
      </c>
      <c r="N136">
        <v>0</v>
      </c>
    </row>
    <row r="137" spans="1:14">
      <c r="A137">
        <v>70</v>
      </c>
      <c r="B137">
        <v>1</v>
      </c>
      <c r="D137">
        <v>1</v>
      </c>
      <c r="E137" t="s">
        <v>260</v>
      </c>
      <c r="F137" t="s">
        <v>261</v>
      </c>
      <c r="G137">
        <v>0.9</v>
      </c>
      <c r="H137">
        <v>1</v>
      </c>
      <c r="I137" t="s">
        <v>262</v>
      </c>
      <c r="J137">
        <v>0</v>
      </c>
      <c r="K137">
        <v>0</v>
      </c>
      <c r="L137" t="s">
        <v>6</v>
      </c>
      <c r="M137" t="s">
        <v>6</v>
      </c>
      <c r="N137">
        <v>0</v>
      </c>
    </row>
    <row r="138" spans="1:14">
      <c r="A138">
        <v>70</v>
      </c>
      <c r="B138">
        <v>1</v>
      </c>
      <c r="D138">
        <v>2</v>
      </c>
      <c r="E138" t="s">
        <v>263</v>
      </c>
      <c r="F138" t="s">
        <v>264</v>
      </c>
      <c r="G138">
        <v>0.85</v>
      </c>
      <c r="H138">
        <v>1</v>
      </c>
      <c r="I138" t="s">
        <v>265</v>
      </c>
      <c r="J138">
        <v>0</v>
      </c>
      <c r="K138">
        <v>0</v>
      </c>
      <c r="L138" t="s">
        <v>6</v>
      </c>
      <c r="M138" t="s">
        <v>6</v>
      </c>
      <c r="N138">
        <v>0</v>
      </c>
    </row>
    <row r="139" spans="1:14">
      <c r="A139">
        <v>70</v>
      </c>
      <c r="B139">
        <v>1</v>
      </c>
      <c r="D139">
        <v>3</v>
      </c>
      <c r="E139" t="s">
        <v>266</v>
      </c>
      <c r="F139" t="s">
        <v>267</v>
      </c>
      <c r="G139">
        <v>1</v>
      </c>
      <c r="H139">
        <v>0.85</v>
      </c>
      <c r="I139" t="s">
        <v>268</v>
      </c>
      <c r="J139">
        <v>0</v>
      </c>
      <c r="K139">
        <v>0</v>
      </c>
      <c r="L139" t="s">
        <v>6</v>
      </c>
      <c r="M139" t="s">
        <v>6</v>
      </c>
      <c r="N139">
        <v>0</v>
      </c>
    </row>
    <row r="140" spans="1:14">
      <c r="A140">
        <v>70</v>
      </c>
      <c r="B140">
        <v>1</v>
      </c>
      <c r="D140">
        <v>4</v>
      </c>
      <c r="E140" t="s">
        <v>269</v>
      </c>
      <c r="F140" t="s">
        <v>270</v>
      </c>
      <c r="G140">
        <v>1</v>
      </c>
      <c r="H140">
        <v>0</v>
      </c>
      <c r="I140" t="s">
        <v>6</v>
      </c>
      <c r="J140">
        <v>0</v>
      </c>
      <c r="K140">
        <v>0</v>
      </c>
      <c r="L140" t="s">
        <v>6</v>
      </c>
      <c r="M140" t="s">
        <v>6</v>
      </c>
      <c r="N140">
        <v>0</v>
      </c>
    </row>
    <row r="141" spans="1:14">
      <c r="A141">
        <v>70</v>
      </c>
      <c r="B141">
        <v>1</v>
      </c>
      <c r="D141">
        <v>5</v>
      </c>
      <c r="E141" t="s">
        <v>271</v>
      </c>
      <c r="F141" t="s">
        <v>272</v>
      </c>
      <c r="G141">
        <v>1</v>
      </c>
      <c r="H141">
        <v>0.8</v>
      </c>
      <c r="I141" t="s">
        <v>273</v>
      </c>
      <c r="J141">
        <v>0</v>
      </c>
      <c r="K141">
        <v>0</v>
      </c>
      <c r="L141" t="s">
        <v>6</v>
      </c>
      <c r="M141" t="s">
        <v>6</v>
      </c>
      <c r="N141">
        <v>0</v>
      </c>
    </row>
    <row r="142" spans="1:14">
      <c r="A142">
        <v>70</v>
      </c>
      <c r="B142">
        <v>1</v>
      </c>
      <c r="D142">
        <v>6</v>
      </c>
      <c r="E142" t="s">
        <v>274</v>
      </c>
      <c r="F142" t="s">
        <v>275</v>
      </c>
      <c r="G142">
        <v>0.85</v>
      </c>
      <c r="H142">
        <v>0</v>
      </c>
      <c r="I142" t="s">
        <v>6</v>
      </c>
      <c r="J142">
        <v>0</v>
      </c>
      <c r="K142">
        <v>0</v>
      </c>
      <c r="L142" t="s">
        <v>6</v>
      </c>
      <c r="M142" t="s">
        <v>6</v>
      </c>
      <c r="N142">
        <v>0</v>
      </c>
    </row>
    <row r="143" spans="1:14">
      <c r="A143">
        <v>70</v>
      </c>
      <c r="B143">
        <v>1</v>
      </c>
      <c r="D143">
        <v>7</v>
      </c>
      <c r="E143" t="s">
        <v>276</v>
      </c>
      <c r="F143" t="s">
        <v>277</v>
      </c>
      <c r="G143">
        <v>0.8</v>
      </c>
      <c r="H143">
        <v>0</v>
      </c>
      <c r="I143" t="s">
        <v>6</v>
      </c>
      <c r="J143">
        <v>0</v>
      </c>
      <c r="K143">
        <v>0</v>
      </c>
      <c r="L143" t="s">
        <v>6</v>
      </c>
      <c r="M143" t="s">
        <v>6</v>
      </c>
      <c r="N143">
        <v>0</v>
      </c>
    </row>
    <row r="144" spans="1:14">
      <c r="A144">
        <v>70</v>
      </c>
      <c r="B144">
        <v>1</v>
      </c>
      <c r="D144">
        <v>8</v>
      </c>
      <c r="E144" t="s">
        <v>278</v>
      </c>
      <c r="F144" t="s">
        <v>279</v>
      </c>
      <c r="G144">
        <v>0.94</v>
      </c>
      <c r="H144">
        <v>0</v>
      </c>
      <c r="I144" t="s">
        <v>6</v>
      </c>
      <c r="J144">
        <v>0</v>
      </c>
      <c r="K144">
        <v>0</v>
      </c>
      <c r="L144" t="s">
        <v>6</v>
      </c>
      <c r="M144" t="s">
        <v>6</v>
      </c>
      <c r="N144">
        <v>0</v>
      </c>
    </row>
    <row r="145" spans="1:27">
      <c r="A145">
        <v>70</v>
      </c>
      <c r="B145">
        <v>1</v>
      </c>
      <c r="D145">
        <v>9</v>
      </c>
      <c r="E145" t="s">
        <v>280</v>
      </c>
      <c r="F145" t="s">
        <v>281</v>
      </c>
      <c r="G145">
        <v>0.9</v>
      </c>
      <c r="H145">
        <v>0</v>
      </c>
      <c r="I145" t="s">
        <v>6</v>
      </c>
      <c r="J145">
        <v>0</v>
      </c>
      <c r="K145">
        <v>0</v>
      </c>
      <c r="L145" t="s">
        <v>6</v>
      </c>
      <c r="M145" t="s">
        <v>6</v>
      </c>
      <c r="N145">
        <v>0</v>
      </c>
    </row>
    <row r="146" spans="1:27">
      <c r="A146">
        <v>70</v>
      </c>
      <c r="B146">
        <v>1</v>
      </c>
      <c r="D146">
        <v>10</v>
      </c>
      <c r="E146" t="s">
        <v>282</v>
      </c>
      <c r="F146" t="s">
        <v>283</v>
      </c>
      <c r="G146">
        <v>0.6</v>
      </c>
      <c r="H146">
        <v>0</v>
      </c>
      <c r="I146" t="s">
        <v>6</v>
      </c>
      <c r="J146">
        <v>0</v>
      </c>
      <c r="K146">
        <v>0</v>
      </c>
      <c r="L146" t="s">
        <v>6</v>
      </c>
      <c r="M146" t="s">
        <v>6</v>
      </c>
      <c r="N146">
        <v>0</v>
      </c>
    </row>
    <row r="147" spans="1:27">
      <c r="A147">
        <v>70</v>
      </c>
      <c r="B147">
        <v>1</v>
      </c>
      <c r="D147">
        <v>11</v>
      </c>
      <c r="E147" t="s">
        <v>284</v>
      </c>
      <c r="F147" t="s">
        <v>285</v>
      </c>
      <c r="G147">
        <v>1.2</v>
      </c>
      <c r="H147">
        <v>0</v>
      </c>
      <c r="I147" t="s">
        <v>6</v>
      </c>
      <c r="J147">
        <v>0</v>
      </c>
      <c r="K147">
        <v>0</v>
      </c>
      <c r="L147" t="s">
        <v>6</v>
      </c>
      <c r="M147" t="s">
        <v>6</v>
      </c>
      <c r="N147">
        <v>0</v>
      </c>
    </row>
    <row r="148" spans="1:27">
      <c r="A148">
        <v>70</v>
      </c>
      <c r="B148">
        <v>1</v>
      </c>
      <c r="D148">
        <v>12</v>
      </c>
      <c r="E148" t="s">
        <v>286</v>
      </c>
      <c r="F148" t="s">
        <v>287</v>
      </c>
      <c r="G148">
        <v>0</v>
      </c>
      <c r="H148">
        <v>0</v>
      </c>
      <c r="I148" t="s">
        <v>6</v>
      </c>
      <c r="J148">
        <v>0</v>
      </c>
      <c r="K148">
        <v>0</v>
      </c>
      <c r="L148" t="s">
        <v>6</v>
      </c>
      <c r="M148" t="s">
        <v>6</v>
      </c>
      <c r="N148">
        <v>0</v>
      </c>
    </row>
    <row r="149" spans="1:27">
      <c r="A149">
        <v>70</v>
      </c>
      <c r="B149">
        <v>1</v>
      </c>
      <c r="D149">
        <v>13</v>
      </c>
      <c r="E149" t="s">
        <v>288</v>
      </c>
      <c r="F149" t="s">
        <v>289</v>
      </c>
      <c r="G149">
        <v>0.94</v>
      </c>
      <c r="H149">
        <v>0</v>
      </c>
      <c r="I149" t="s">
        <v>6</v>
      </c>
      <c r="J149">
        <v>0</v>
      </c>
      <c r="K149">
        <v>0</v>
      </c>
      <c r="L149" t="s">
        <v>6</v>
      </c>
      <c r="M149" t="s">
        <v>6</v>
      </c>
      <c r="N149">
        <v>0</v>
      </c>
    </row>
    <row r="151" spans="1:27">
      <c r="A151">
        <v>-1</v>
      </c>
    </row>
    <row r="153" spans="1:27">
      <c r="A153" s="3">
        <v>75</v>
      </c>
      <c r="B153" s="3" t="s">
        <v>290</v>
      </c>
      <c r="C153" s="3">
        <v>2017</v>
      </c>
      <c r="D153" s="3">
        <v>0</v>
      </c>
      <c r="E153" s="3">
        <v>7</v>
      </c>
      <c r="F153" s="3"/>
      <c r="G153" s="3">
        <v>0</v>
      </c>
      <c r="H153" s="3">
        <v>1</v>
      </c>
      <c r="I153" s="3">
        <v>0</v>
      </c>
      <c r="J153" s="3">
        <v>3</v>
      </c>
      <c r="K153" s="3">
        <v>0</v>
      </c>
      <c r="L153" s="3">
        <v>0</v>
      </c>
      <c r="M153" s="3">
        <v>0</v>
      </c>
      <c r="N153" s="3">
        <v>28315699</v>
      </c>
      <c r="O153" s="3">
        <v>1</v>
      </c>
    </row>
    <row r="154" spans="1:27">
      <c r="A154" s="5">
        <v>1</v>
      </c>
      <c r="B154" s="5" t="s">
        <v>291</v>
      </c>
      <c r="C154" s="5" t="s">
        <v>292</v>
      </c>
      <c r="D154" s="5">
        <v>2017</v>
      </c>
      <c r="E154" s="5">
        <v>7</v>
      </c>
      <c r="F154" s="5">
        <v>1</v>
      </c>
      <c r="G154" s="5">
        <v>1</v>
      </c>
      <c r="H154" s="5">
        <v>0</v>
      </c>
      <c r="I154" s="5">
        <v>2</v>
      </c>
      <c r="J154" s="5">
        <v>1</v>
      </c>
      <c r="K154" s="5">
        <v>1</v>
      </c>
      <c r="L154" s="5">
        <v>1</v>
      </c>
      <c r="M154" s="5">
        <v>1</v>
      </c>
      <c r="N154" s="5">
        <v>1</v>
      </c>
      <c r="O154" s="5">
        <v>1</v>
      </c>
      <c r="P154" s="5">
        <v>1</v>
      </c>
      <c r="Q154" s="5">
        <v>1</v>
      </c>
      <c r="R154" s="5" t="s">
        <v>6</v>
      </c>
      <c r="S154" s="5" t="s">
        <v>6</v>
      </c>
      <c r="T154" s="5" t="s">
        <v>6</v>
      </c>
      <c r="U154" s="5" t="s">
        <v>6</v>
      </c>
      <c r="V154" s="5" t="s">
        <v>6</v>
      </c>
      <c r="W154" s="5" t="s">
        <v>6</v>
      </c>
      <c r="X154" s="5" t="s">
        <v>6</v>
      </c>
      <c r="Y154" s="5" t="s">
        <v>6</v>
      </c>
      <c r="Z154" s="5" t="s">
        <v>6</v>
      </c>
      <c r="AA154" s="5" t="s">
        <v>6</v>
      </c>
    </row>
    <row r="155" spans="1:27">
      <c r="A155" s="5">
        <v>1</v>
      </c>
      <c r="B155" s="5" t="s">
        <v>291</v>
      </c>
      <c r="C155" s="5" t="s">
        <v>293</v>
      </c>
      <c r="D155" s="5">
        <v>2017</v>
      </c>
      <c r="E155" s="5">
        <v>7</v>
      </c>
      <c r="F155" s="5">
        <v>1</v>
      </c>
      <c r="G155" s="5">
        <v>1</v>
      </c>
      <c r="H155" s="5">
        <v>0</v>
      </c>
      <c r="I155" s="5">
        <v>2</v>
      </c>
      <c r="J155" s="5">
        <v>1</v>
      </c>
      <c r="K155" s="5">
        <v>1</v>
      </c>
      <c r="L155" s="5">
        <v>1</v>
      </c>
      <c r="M155" s="5">
        <v>1</v>
      </c>
      <c r="N155" s="5">
        <v>1</v>
      </c>
      <c r="O155" s="5">
        <v>1</v>
      </c>
      <c r="P155" s="5">
        <v>1</v>
      </c>
      <c r="Q155" s="5">
        <v>1</v>
      </c>
      <c r="R155" s="5" t="s">
        <v>6</v>
      </c>
      <c r="S155" s="5" t="s">
        <v>6</v>
      </c>
      <c r="T155" s="5" t="s">
        <v>6</v>
      </c>
      <c r="U155" s="5" t="s">
        <v>6</v>
      </c>
      <c r="V155" s="5" t="s">
        <v>6</v>
      </c>
      <c r="W155" s="5" t="s">
        <v>6</v>
      </c>
      <c r="X155" s="5" t="s">
        <v>6</v>
      </c>
      <c r="Y155" s="5" t="s">
        <v>6</v>
      </c>
      <c r="Z155" s="5" t="s">
        <v>6</v>
      </c>
      <c r="AA155" s="5" t="s">
        <v>6</v>
      </c>
    </row>
    <row r="159" spans="1:27">
      <c r="A159">
        <v>65</v>
      </c>
      <c r="C159">
        <v>1</v>
      </c>
      <c r="D159">
        <v>0</v>
      </c>
      <c r="E15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C52"/>
  <sheetViews>
    <sheetView workbookViewId="0"/>
  </sheetViews>
  <sheetFormatPr defaultColWidth="9.140625" defaultRowHeight="12.75"/>
  <cols>
    <col min="1" max="256" width="9.140625" customWidth="1"/>
  </cols>
  <sheetData>
    <row r="1" spans="1:133">
      <c r="A1">
        <v>0</v>
      </c>
      <c r="B1" t="s">
        <v>0</v>
      </c>
      <c r="D1" t="s">
        <v>294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27022</v>
      </c>
      <c r="M1">
        <v>10</v>
      </c>
    </row>
    <row r="12" spans="1:133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7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8</v>
      </c>
      <c r="AC12" s="1" t="s">
        <v>9</v>
      </c>
      <c r="AD12" s="1" t="s">
        <v>10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11</v>
      </c>
      <c r="BI12" s="1" t="s">
        <v>12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13</v>
      </c>
      <c r="BZ12" s="1" t="s">
        <v>14</v>
      </c>
      <c r="CA12" s="1" t="s">
        <v>13</v>
      </c>
      <c r="CB12" s="1" t="s">
        <v>13</v>
      </c>
      <c r="CC12" s="1" t="s">
        <v>13</v>
      </c>
      <c r="CD12" s="1" t="s">
        <v>13</v>
      </c>
      <c r="CE12" s="1" t="s">
        <v>15</v>
      </c>
      <c r="CF12" s="1">
        <v>0</v>
      </c>
      <c r="CG12" s="1">
        <v>0</v>
      </c>
      <c r="CH12" s="1">
        <v>2621448</v>
      </c>
      <c r="CI12" s="1" t="s">
        <v>6</v>
      </c>
      <c r="CJ12" s="1" t="s">
        <v>6</v>
      </c>
      <c r="CK12" s="1">
        <v>2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>
      <c r="A14" s="1">
        <v>22</v>
      </c>
      <c r="B14" s="1">
        <v>0</v>
      </c>
      <c r="C14" s="1">
        <v>0</v>
      </c>
      <c r="D14" s="1">
        <v>28315699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>
      <c r="A16" s="6">
        <v>3</v>
      </c>
      <c r="B16" s="6">
        <v>1</v>
      </c>
      <c r="C16" s="6" t="s">
        <v>16</v>
      </c>
      <c r="D16" s="6" t="s">
        <v>5</v>
      </c>
      <c r="E16" s="7">
        <f>(Source!F76)/1000</f>
        <v>17477.38178</v>
      </c>
      <c r="F16" s="7">
        <f>(Source!F77)/1000</f>
        <v>0</v>
      </c>
      <c r="G16" s="7">
        <f>(Source!F68)/1000</f>
        <v>0</v>
      </c>
      <c r="H16" s="7">
        <f>(Source!F78)/1000+(Source!F79)/1000</f>
        <v>0</v>
      </c>
      <c r="I16" s="7">
        <f>E16+F16+G16+H16</f>
        <v>17477.38178</v>
      </c>
      <c r="J16" s="7">
        <f>(Source!F74)/1000</f>
        <v>2042.96028</v>
      </c>
      <c r="AI16" s="6">
        <v>0</v>
      </c>
      <c r="AJ16" s="6">
        <v>-1</v>
      </c>
      <c r="AK16" s="6" t="s">
        <v>6</v>
      </c>
      <c r="AL16" s="6" t="s">
        <v>6</v>
      </c>
      <c r="AM16" s="6" t="s">
        <v>6</v>
      </c>
      <c r="AN16" s="6">
        <v>0</v>
      </c>
      <c r="AO16" s="6" t="s">
        <v>6</v>
      </c>
      <c r="AP16" s="6" t="s">
        <v>6</v>
      </c>
      <c r="AT16" s="7">
        <v>14743870.560000001</v>
      </c>
      <c r="AU16" s="7">
        <v>12457828.619999999</v>
      </c>
      <c r="AV16" s="7">
        <v>0</v>
      </c>
      <c r="AW16" s="7">
        <v>0</v>
      </c>
      <c r="AX16" s="7">
        <v>0</v>
      </c>
      <c r="AY16" s="7">
        <v>243081.66</v>
      </c>
      <c r="AZ16" s="7">
        <v>25036.33</v>
      </c>
      <c r="BA16" s="7">
        <v>2042960.28</v>
      </c>
      <c r="BB16" s="7">
        <v>17477381.780000001</v>
      </c>
      <c r="BC16" s="7">
        <v>0</v>
      </c>
      <c r="BD16" s="7">
        <v>0</v>
      </c>
      <c r="BE16" s="7">
        <v>0</v>
      </c>
      <c r="BF16" s="7">
        <v>8342.321648000001</v>
      </c>
      <c r="BG16" s="7">
        <v>84.828400000000002</v>
      </c>
      <c r="BH16" s="7">
        <v>0</v>
      </c>
      <c r="BI16" s="7">
        <v>1708084.15</v>
      </c>
      <c r="BJ16" s="7">
        <v>1011088.96</v>
      </c>
      <c r="BK16" s="7">
        <v>17477381.780000001</v>
      </c>
    </row>
    <row r="18" spans="1:19">
      <c r="A18">
        <v>51</v>
      </c>
      <c r="E18" s="8">
        <f>SUMIF(A16:A17,3,E16:E17)</f>
        <v>17477.38178</v>
      </c>
      <c r="F18" s="8">
        <f>SUMIF(A16:A17,3,F16:F17)</f>
        <v>0</v>
      </c>
      <c r="G18" s="8">
        <f>SUMIF(A16:A17,3,G16:G17)</f>
        <v>0</v>
      </c>
      <c r="H18" s="8">
        <f>SUMIF(A16:A17,3,H16:H17)</f>
        <v>0</v>
      </c>
      <c r="I18" s="8">
        <f>SUMIF(A16:A17,3,I16:I17)</f>
        <v>17477.38178</v>
      </c>
      <c r="J18" s="8">
        <f>SUMIF(A16:A17,3,J16:J17)</f>
        <v>2042.96028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14743870.560000001</v>
      </c>
      <c r="G20" s="4" t="s">
        <v>168</v>
      </c>
      <c r="H20" s="4" t="s">
        <v>169</v>
      </c>
      <c r="I20" s="4"/>
      <c r="J20" s="4"/>
      <c r="K20" s="4">
        <v>201</v>
      </c>
      <c r="L20" s="4">
        <v>1</v>
      </c>
      <c r="M20" s="4">
        <v>3</v>
      </c>
      <c r="N20" s="4" t="s">
        <v>6</v>
      </c>
      <c r="O20" s="4">
        <v>2</v>
      </c>
      <c r="P20" s="4"/>
    </row>
    <row r="21" spans="1:19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12457828.619999999</v>
      </c>
      <c r="G21" s="4" t="s">
        <v>170</v>
      </c>
      <c r="H21" s="4" t="s">
        <v>171</v>
      </c>
      <c r="I21" s="4"/>
      <c r="J21" s="4"/>
      <c r="K21" s="4">
        <v>202</v>
      </c>
      <c r="L21" s="4">
        <v>2</v>
      </c>
      <c r="M21" s="4">
        <v>3</v>
      </c>
      <c r="N21" s="4" t="s">
        <v>6</v>
      </c>
      <c r="O21" s="4">
        <v>2</v>
      </c>
      <c r="P21" s="4"/>
    </row>
    <row r="22" spans="1:19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172</v>
      </c>
      <c r="H22" s="4" t="s">
        <v>173</v>
      </c>
      <c r="I22" s="4"/>
      <c r="J22" s="4"/>
      <c r="K22" s="4">
        <v>222</v>
      </c>
      <c r="L22" s="4">
        <v>3</v>
      </c>
      <c r="M22" s="4">
        <v>3</v>
      </c>
      <c r="N22" s="4" t="s">
        <v>6</v>
      </c>
      <c r="O22" s="4">
        <v>2</v>
      </c>
      <c r="P22" s="4"/>
    </row>
    <row r="23" spans="1:19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12457828.619999999</v>
      </c>
      <c r="G23" s="4" t="s">
        <v>174</v>
      </c>
      <c r="H23" s="4" t="s">
        <v>175</v>
      </c>
      <c r="I23" s="4"/>
      <c r="J23" s="4"/>
      <c r="K23" s="4">
        <v>225</v>
      </c>
      <c r="L23" s="4">
        <v>4</v>
      </c>
      <c r="M23" s="4">
        <v>3</v>
      </c>
      <c r="N23" s="4" t="s">
        <v>6</v>
      </c>
      <c r="O23" s="4">
        <v>2</v>
      </c>
      <c r="P23" s="4"/>
    </row>
    <row r="24" spans="1:19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12457828.619999999</v>
      </c>
      <c r="G24" s="4" t="s">
        <v>176</v>
      </c>
      <c r="H24" s="4" t="s">
        <v>177</v>
      </c>
      <c r="I24" s="4"/>
      <c r="J24" s="4"/>
      <c r="K24" s="4">
        <v>226</v>
      </c>
      <c r="L24" s="4">
        <v>5</v>
      </c>
      <c r="M24" s="4">
        <v>3</v>
      </c>
      <c r="N24" s="4" t="s">
        <v>6</v>
      </c>
      <c r="O24" s="4">
        <v>2</v>
      </c>
      <c r="P24" s="4"/>
    </row>
    <row r="25" spans="1:19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178</v>
      </c>
      <c r="H25" s="4" t="s">
        <v>179</v>
      </c>
      <c r="I25" s="4"/>
      <c r="J25" s="4"/>
      <c r="K25" s="4">
        <v>227</v>
      </c>
      <c r="L25" s="4">
        <v>6</v>
      </c>
      <c r="M25" s="4">
        <v>3</v>
      </c>
      <c r="N25" s="4" t="s">
        <v>6</v>
      </c>
      <c r="O25" s="4">
        <v>2</v>
      </c>
      <c r="P25" s="4"/>
    </row>
    <row r="26" spans="1:19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12457828.619999999</v>
      </c>
      <c r="G26" s="4" t="s">
        <v>180</v>
      </c>
      <c r="H26" s="4" t="s">
        <v>181</v>
      </c>
      <c r="I26" s="4"/>
      <c r="J26" s="4"/>
      <c r="K26" s="4">
        <v>228</v>
      </c>
      <c r="L26" s="4">
        <v>7</v>
      </c>
      <c r="M26" s="4">
        <v>3</v>
      </c>
      <c r="N26" s="4" t="s">
        <v>6</v>
      </c>
      <c r="O26" s="4">
        <v>2</v>
      </c>
      <c r="P26" s="4"/>
    </row>
    <row r="27" spans="1:19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182</v>
      </c>
      <c r="H27" s="4" t="s">
        <v>183</v>
      </c>
      <c r="I27" s="4"/>
      <c r="J27" s="4"/>
      <c r="K27" s="4">
        <v>216</v>
      </c>
      <c r="L27" s="4">
        <v>8</v>
      </c>
      <c r="M27" s="4">
        <v>3</v>
      </c>
      <c r="N27" s="4" t="s">
        <v>6</v>
      </c>
      <c r="O27" s="4">
        <v>2</v>
      </c>
      <c r="P27" s="4"/>
    </row>
    <row r="28" spans="1:19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184</v>
      </c>
      <c r="H28" s="4" t="s">
        <v>185</v>
      </c>
      <c r="I28" s="4"/>
      <c r="J28" s="4"/>
      <c r="K28" s="4">
        <v>223</v>
      </c>
      <c r="L28" s="4">
        <v>9</v>
      </c>
      <c r="M28" s="4">
        <v>3</v>
      </c>
      <c r="N28" s="4" t="s">
        <v>6</v>
      </c>
      <c r="O28" s="4">
        <v>2</v>
      </c>
      <c r="P28" s="4"/>
    </row>
    <row r="29" spans="1:19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186</v>
      </c>
      <c r="H29" s="4" t="s">
        <v>187</v>
      </c>
      <c r="I29" s="4"/>
      <c r="J29" s="4"/>
      <c r="K29" s="4">
        <v>229</v>
      </c>
      <c r="L29" s="4">
        <v>10</v>
      </c>
      <c r="M29" s="4">
        <v>3</v>
      </c>
      <c r="N29" s="4" t="s">
        <v>6</v>
      </c>
      <c r="O29" s="4">
        <v>2</v>
      </c>
      <c r="P29" s="4"/>
    </row>
    <row r="30" spans="1:19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243081.66</v>
      </c>
      <c r="G30" s="4" t="s">
        <v>188</v>
      </c>
      <c r="H30" s="4" t="s">
        <v>189</v>
      </c>
      <c r="I30" s="4"/>
      <c r="J30" s="4"/>
      <c r="K30" s="4">
        <v>203</v>
      </c>
      <c r="L30" s="4">
        <v>11</v>
      </c>
      <c r="M30" s="4">
        <v>3</v>
      </c>
      <c r="N30" s="4" t="s">
        <v>6</v>
      </c>
      <c r="O30" s="4">
        <v>2</v>
      </c>
      <c r="P30" s="4"/>
    </row>
    <row r="31" spans="1:19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190</v>
      </c>
      <c r="H31" s="4" t="s">
        <v>191</v>
      </c>
      <c r="I31" s="4"/>
      <c r="J31" s="4"/>
      <c r="K31" s="4">
        <v>231</v>
      </c>
      <c r="L31" s="4">
        <v>12</v>
      </c>
      <c r="M31" s="4">
        <v>3</v>
      </c>
      <c r="N31" s="4" t="s">
        <v>6</v>
      </c>
      <c r="O31" s="4">
        <v>2</v>
      </c>
      <c r="P31" s="4"/>
    </row>
    <row r="32" spans="1:19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25036.33</v>
      </c>
      <c r="G32" s="4" t="s">
        <v>192</v>
      </c>
      <c r="H32" s="4" t="s">
        <v>193</v>
      </c>
      <c r="I32" s="4"/>
      <c r="J32" s="4"/>
      <c r="K32" s="4">
        <v>204</v>
      </c>
      <c r="L32" s="4">
        <v>13</v>
      </c>
      <c r="M32" s="4">
        <v>3</v>
      </c>
      <c r="N32" s="4" t="s">
        <v>6</v>
      </c>
      <c r="O32" s="4">
        <v>2</v>
      </c>
      <c r="P32" s="4"/>
    </row>
    <row r="33" spans="1:16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2042960.28</v>
      </c>
      <c r="G33" s="4" t="s">
        <v>194</v>
      </c>
      <c r="H33" s="4" t="s">
        <v>195</v>
      </c>
      <c r="I33" s="4"/>
      <c r="J33" s="4"/>
      <c r="K33" s="4">
        <v>205</v>
      </c>
      <c r="L33" s="4">
        <v>14</v>
      </c>
      <c r="M33" s="4">
        <v>3</v>
      </c>
      <c r="N33" s="4" t="s">
        <v>6</v>
      </c>
      <c r="O33" s="4">
        <v>2</v>
      </c>
      <c r="P33" s="4"/>
    </row>
    <row r="34" spans="1:16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196</v>
      </c>
      <c r="H34" s="4" t="s">
        <v>197</v>
      </c>
      <c r="I34" s="4"/>
      <c r="J34" s="4"/>
      <c r="K34" s="4">
        <v>232</v>
      </c>
      <c r="L34" s="4">
        <v>15</v>
      </c>
      <c r="M34" s="4">
        <v>3</v>
      </c>
      <c r="N34" s="4" t="s">
        <v>6</v>
      </c>
      <c r="O34" s="4">
        <v>2</v>
      </c>
      <c r="P34" s="4"/>
    </row>
    <row r="35" spans="1:16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17477381.780000001</v>
      </c>
      <c r="G35" s="4" t="s">
        <v>198</v>
      </c>
      <c r="H35" s="4" t="s">
        <v>199</v>
      </c>
      <c r="I35" s="4"/>
      <c r="J35" s="4"/>
      <c r="K35" s="4">
        <v>214</v>
      </c>
      <c r="L35" s="4">
        <v>16</v>
      </c>
      <c r="M35" s="4">
        <v>3</v>
      </c>
      <c r="N35" s="4" t="s">
        <v>6</v>
      </c>
      <c r="O35" s="4">
        <v>2</v>
      </c>
      <c r="P35" s="4"/>
    </row>
    <row r="36" spans="1:16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200</v>
      </c>
      <c r="H36" s="4" t="s">
        <v>201</v>
      </c>
      <c r="I36" s="4"/>
      <c r="J36" s="4"/>
      <c r="K36" s="4">
        <v>215</v>
      </c>
      <c r="L36" s="4">
        <v>17</v>
      </c>
      <c r="M36" s="4">
        <v>3</v>
      </c>
      <c r="N36" s="4" t="s">
        <v>6</v>
      </c>
      <c r="O36" s="4">
        <v>2</v>
      </c>
      <c r="P36" s="4"/>
    </row>
    <row r="37" spans="1:16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0</v>
      </c>
      <c r="G37" s="4" t="s">
        <v>202</v>
      </c>
      <c r="H37" s="4" t="s">
        <v>203</v>
      </c>
      <c r="I37" s="4"/>
      <c r="J37" s="4"/>
      <c r="K37" s="4">
        <v>217</v>
      </c>
      <c r="L37" s="4">
        <v>18</v>
      </c>
      <c r="M37" s="4">
        <v>3</v>
      </c>
      <c r="N37" s="4" t="s">
        <v>6</v>
      </c>
      <c r="O37" s="4">
        <v>2</v>
      </c>
      <c r="P37" s="4"/>
    </row>
    <row r="38" spans="1:16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204</v>
      </c>
      <c r="H38" s="4" t="s">
        <v>205</v>
      </c>
      <c r="I38" s="4"/>
      <c r="J38" s="4"/>
      <c r="K38" s="4">
        <v>230</v>
      </c>
      <c r="L38" s="4">
        <v>19</v>
      </c>
      <c r="M38" s="4">
        <v>3</v>
      </c>
      <c r="N38" s="4" t="s">
        <v>6</v>
      </c>
      <c r="O38" s="4">
        <v>2</v>
      </c>
      <c r="P38" s="4"/>
    </row>
    <row r="39" spans="1:16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206</v>
      </c>
      <c r="H39" s="4" t="s">
        <v>207</v>
      </c>
      <c r="I39" s="4"/>
      <c r="J39" s="4"/>
      <c r="K39" s="4">
        <v>206</v>
      </c>
      <c r="L39" s="4">
        <v>20</v>
      </c>
      <c r="M39" s="4">
        <v>3</v>
      </c>
      <c r="N39" s="4" t="s">
        <v>6</v>
      </c>
      <c r="O39" s="4">
        <v>2</v>
      </c>
      <c r="P39" s="4"/>
    </row>
    <row r="40" spans="1:16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8342.321648000001</v>
      </c>
      <c r="G40" s="4" t="s">
        <v>208</v>
      </c>
      <c r="H40" s="4" t="s">
        <v>209</v>
      </c>
      <c r="I40" s="4"/>
      <c r="J40" s="4"/>
      <c r="K40" s="4">
        <v>207</v>
      </c>
      <c r="L40" s="4">
        <v>21</v>
      </c>
      <c r="M40" s="4">
        <v>3</v>
      </c>
      <c r="N40" s="4" t="s">
        <v>6</v>
      </c>
      <c r="O40" s="4">
        <v>-1</v>
      </c>
      <c r="P40" s="4"/>
    </row>
    <row r="41" spans="1:16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84.828400000000002</v>
      </c>
      <c r="G41" s="4" t="s">
        <v>210</v>
      </c>
      <c r="H41" s="4" t="s">
        <v>211</v>
      </c>
      <c r="I41" s="4"/>
      <c r="J41" s="4"/>
      <c r="K41" s="4">
        <v>208</v>
      </c>
      <c r="L41" s="4">
        <v>22</v>
      </c>
      <c r="M41" s="4">
        <v>3</v>
      </c>
      <c r="N41" s="4" t="s">
        <v>6</v>
      </c>
      <c r="O41" s="4">
        <v>-1</v>
      </c>
      <c r="P41" s="4"/>
    </row>
    <row r="42" spans="1:16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212</v>
      </c>
      <c r="H42" s="4" t="s">
        <v>213</v>
      </c>
      <c r="I42" s="4"/>
      <c r="J42" s="4"/>
      <c r="K42" s="4">
        <v>209</v>
      </c>
      <c r="L42" s="4">
        <v>23</v>
      </c>
      <c r="M42" s="4">
        <v>3</v>
      </c>
      <c r="N42" s="4" t="s">
        <v>6</v>
      </c>
      <c r="O42" s="4">
        <v>2</v>
      </c>
      <c r="P42" s="4"/>
    </row>
    <row r="43" spans="1:16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1708084.15</v>
      </c>
      <c r="G43" s="4" t="s">
        <v>214</v>
      </c>
      <c r="H43" s="4" t="s">
        <v>215</v>
      </c>
      <c r="I43" s="4"/>
      <c r="J43" s="4"/>
      <c r="K43" s="4">
        <v>210</v>
      </c>
      <c r="L43" s="4">
        <v>24</v>
      </c>
      <c r="M43" s="4">
        <v>3</v>
      </c>
      <c r="N43" s="4" t="s">
        <v>6</v>
      </c>
      <c r="O43" s="4">
        <v>2</v>
      </c>
      <c r="P43" s="4"/>
    </row>
    <row r="44" spans="1:16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1011088.96</v>
      </c>
      <c r="G44" s="4" t="s">
        <v>216</v>
      </c>
      <c r="H44" s="4" t="s">
        <v>217</v>
      </c>
      <c r="I44" s="4"/>
      <c r="J44" s="4"/>
      <c r="K44" s="4">
        <v>211</v>
      </c>
      <c r="L44" s="4">
        <v>25</v>
      </c>
      <c r="M44" s="4">
        <v>3</v>
      </c>
      <c r="N44" s="4" t="s">
        <v>6</v>
      </c>
      <c r="O44" s="4">
        <v>2</v>
      </c>
      <c r="P44" s="4"/>
    </row>
    <row r="45" spans="1:16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17477381.780000001</v>
      </c>
      <c r="G45" s="4" t="s">
        <v>218</v>
      </c>
      <c r="H45" s="4" t="s">
        <v>219</v>
      </c>
      <c r="I45" s="4"/>
      <c r="J45" s="4"/>
      <c r="K45" s="4">
        <v>224</v>
      </c>
      <c r="L45" s="4">
        <v>26</v>
      </c>
      <c r="M45" s="4">
        <v>3</v>
      </c>
      <c r="N45" s="4" t="s">
        <v>6</v>
      </c>
      <c r="O45" s="4">
        <v>2</v>
      </c>
      <c r="P45" s="4"/>
    </row>
    <row r="47" spans="1:16">
      <c r="A47">
        <v>-1</v>
      </c>
    </row>
    <row r="50" spans="1:27">
      <c r="A50" s="3">
        <v>75</v>
      </c>
      <c r="B50" s="3" t="s">
        <v>290</v>
      </c>
      <c r="C50" s="3">
        <v>2017</v>
      </c>
      <c r="D50" s="3">
        <v>0</v>
      </c>
      <c r="E50" s="3">
        <v>7</v>
      </c>
      <c r="F50" s="3"/>
      <c r="G50" s="3">
        <v>0</v>
      </c>
      <c r="H50" s="3">
        <v>1</v>
      </c>
      <c r="I50" s="3">
        <v>0</v>
      </c>
      <c r="J50" s="3">
        <v>3</v>
      </c>
      <c r="K50" s="3">
        <v>0</v>
      </c>
      <c r="L50" s="3">
        <v>0</v>
      </c>
      <c r="M50" s="3">
        <v>0</v>
      </c>
      <c r="N50" s="3">
        <v>28315699</v>
      </c>
      <c r="O50" s="3">
        <v>1</v>
      </c>
    </row>
    <row r="51" spans="1:27">
      <c r="A51" s="5">
        <v>1</v>
      </c>
      <c r="B51" s="5" t="s">
        <v>291</v>
      </c>
      <c r="C51" s="5" t="s">
        <v>292</v>
      </c>
      <c r="D51" s="5">
        <v>2017</v>
      </c>
      <c r="E51" s="5">
        <v>7</v>
      </c>
      <c r="F51" s="5">
        <v>1</v>
      </c>
      <c r="G51" s="5">
        <v>1</v>
      </c>
      <c r="H51" s="5">
        <v>0</v>
      </c>
      <c r="I51" s="5">
        <v>2</v>
      </c>
      <c r="J51" s="5">
        <v>1</v>
      </c>
      <c r="K51" s="5">
        <v>1</v>
      </c>
      <c r="L51" s="5">
        <v>1</v>
      </c>
      <c r="M51" s="5">
        <v>1</v>
      </c>
      <c r="N51" s="5">
        <v>1</v>
      </c>
      <c r="O51" s="5">
        <v>1</v>
      </c>
      <c r="P51" s="5">
        <v>1</v>
      </c>
      <c r="Q51" s="5">
        <v>1</v>
      </c>
      <c r="R51" s="5" t="s">
        <v>6</v>
      </c>
      <c r="S51" s="5" t="s">
        <v>6</v>
      </c>
      <c r="T51" s="5" t="s">
        <v>6</v>
      </c>
      <c r="U51" s="5" t="s">
        <v>6</v>
      </c>
      <c r="V51" s="5" t="s">
        <v>6</v>
      </c>
      <c r="W51" s="5" t="s">
        <v>6</v>
      </c>
      <c r="X51" s="5" t="s">
        <v>6</v>
      </c>
      <c r="Y51" s="5" t="s">
        <v>6</v>
      </c>
      <c r="Z51" s="5" t="s">
        <v>6</v>
      </c>
      <c r="AA51" s="5" t="s">
        <v>6</v>
      </c>
    </row>
    <row r="52" spans="1:27">
      <c r="A52" s="5">
        <v>1</v>
      </c>
      <c r="B52" s="5" t="s">
        <v>291</v>
      </c>
      <c r="C52" s="5" t="s">
        <v>293</v>
      </c>
      <c r="D52" s="5">
        <v>2017</v>
      </c>
      <c r="E52" s="5">
        <v>7</v>
      </c>
      <c r="F52" s="5">
        <v>1</v>
      </c>
      <c r="G52" s="5">
        <v>1</v>
      </c>
      <c r="H52" s="5">
        <v>0</v>
      </c>
      <c r="I52" s="5">
        <v>2</v>
      </c>
      <c r="J52" s="5">
        <v>1</v>
      </c>
      <c r="K52" s="5">
        <v>1</v>
      </c>
      <c r="L52" s="5">
        <v>1</v>
      </c>
      <c r="M52" s="5">
        <v>1</v>
      </c>
      <c r="N52" s="5">
        <v>1</v>
      </c>
      <c r="O52" s="5">
        <v>1</v>
      </c>
      <c r="P52" s="5">
        <v>1</v>
      </c>
      <c r="Q52" s="5">
        <v>1</v>
      </c>
      <c r="R52" s="5" t="s">
        <v>6</v>
      </c>
      <c r="S52" s="5" t="s">
        <v>6</v>
      </c>
      <c r="T52" s="5" t="s">
        <v>6</v>
      </c>
      <c r="U52" s="5" t="s">
        <v>6</v>
      </c>
      <c r="V52" s="5" t="s">
        <v>6</v>
      </c>
      <c r="W52" s="5" t="s">
        <v>6</v>
      </c>
      <c r="X52" s="5" t="s">
        <v>6</v>
      </c>
      <c r="Y52" s="5" t="s">
        <v>6</v>
      </c>
      <c r="Z52" s="5" t="s">
        <v>6</v>
      </c>
      <c r="AA52" s="5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B87"/>
  <sheetViews>
    <sheetView workbookViewId="0"/>
  </sheetViews>
  <sheetFormatPr defaultColWidth="9.140625" defaultRowHeight="12.75"/>
  <cols>
    <col min="1" max="256" width="9.140625" customWidth="1"/>
  </cols>
  <sheetData>
    <row r="1" spans="1:106">
      <c r="A1">
        <f>ROW(Source!A24)</f>
        <v>24</v>
      </c>
      <c r="B1">
        <v>28315699</v>
      </c>
      <c r="C1">
        <v>28315850</v>
      </c>
      <c r="D1">
        <v>25871268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6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W1">
        <v>0</v>
      </c>
      <c r="X1">
        <v>735429535</v>
      </c>
      <c r="Y1">
        <v>9.1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6</v>
      </c>
      <c r="AT1">
        <v>9.1</v>
      </c>
      <c r="AU1" t="s">
        <v>6</v>
      </c>
      <c r="AV1">
        <v>1</v>
      </c>
      <c r="AW1">
        <v>2</v>
      </c>
      <c r="AX1">
        <v>28315854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32.76</v>
      </c>
      <c r="CY1">
        <f>AD1</f>
        <v>7.8</v>
      </c>
      <c r="CZ1">
        <f>AH1</f>
        <v>7.8</v>
      </c>
      <c r="DA1">
        <f>AL1</f>
        <v>1</v>
      </c>
      <c r="DB1">
        <v>0</v>
      </c>
    </row>
    <row r="2" spans="1:106">
      <c r="A2">
        <f>ROW(Source!A24)</f>
        <v>24</v>
      </c>
      <c r="B2">
        <v>28315699</v>
      </c>
      <c r="C2">
        <v>28315850</v>
      </c>
      <c r="D2">
        <v>25685803</v>
      </c>
      <c r="E2">
        <v>1</v>
      </c>
      <c r="F2">
        <v>1</v>
      </c>
      <c r="G2">
        <v>1</v>
      </c>
      <c r="H2">
        <v>2</v>
      </c>
      <c r="I2" t="s">
        <v>298</v>
      </c>
      <c r="J2" t="s">
        <v>299</v>
      </c>
      <c r="K2" t="s">
        <v>300</v>
      </c>
      <c r="L2">
        <v>1368</v>
      </c>
      <c r="N2">
        <v>1011</v>
      </c>
      <c r="O2" t="s">
        <v>301</v>
      </c>
      <c r="P2" t="s">
        <v>301</v>
      </c>
      <c r="Q2">
        <v>1</v>
      </c>
      <c r="W2">
        <v>0</v>
      </c>
      <c r="X2">
        <v>1047452784</v>
      </c>
      <c r="Y2">
        <v>0.12</v>
      </c>
      <c r="AA2">
        <v>0</v>
      </c>
      <c r="AB2">
        <v>5.81</v>
      </c>
      <c r="AC2">
        <v>0</v>
      </c>
      <c r="AD2">
        <v>0</v>
      </c>
      <c r="AE2">
        <v>0</v>
      </c>
      <c r="AF2">
        <v>1.7</v>
      </c>
      <c r="AG2">
        <v>0</v>
      </c>
      <c r="AH2">
        <v>0</v>
      </c>
      <c r="AI2">
        <v>1</v>
      </c>
      <c r="AJ2">
        <v>3.42</v>
      </c>
      <c r="AK2">
        <v>25.89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0.12</v>
      </c>
      <c r="AU2" t="s">
        <v>6</v>
      </c>
      <c r="AV2">
        <v>0</v>
      </c>
      <c r="AW2">
        <v>2</v>
      </c>
      <c r="AX2">
        <v>28315855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0.432</v>
      </c>
      <c r="CY2">
        <f>AB2</f>
        <v>5.81</v>
      </c>
      <c r="CZ2">
        <f>AF2</f>
        <v>1.7</v>
      </c>
      <c r="DA2">
        <f>AJ2</f>
        <v>3.42</v>
      </c>
      <c r="DB2">
        <v>0</v>
      </c>
    </row>
    <row r="3" spans="1:106">
      <c r="A3">
        <f>ROW(Source!A24)</f>
        <v>24</v>
      </c>
      <c r="B3">
        <v>28315699</v>
      </c>
      <c r="C3">
        <v>28315850</v>
      </c>
      <c r="D3">
        <v>25602320</v>
      </c>
      <c r="E3">
        <v>17</v>
      </c>
      <c r="F3">
        <v>1</v>
      </c>
      <c r="G3">
        <v>1</v>
      </c>
      <c r="H3">
        <v>3</v>
      </c>
      <c r="I3" t="s">
        <v>28</v>
      </c>
      <c r="J3" t="s">
        <v>6</v>
      </c>
      <c r="K3" t="s">
        <v>29</v>
      </c>
      <c r="L3">
        <v>1348</v>
      </c>
      <c r="N3">
        <v>1009</v>
      </c>
      <c r="O3" t="s">
        <v>30</v>
      </c>
      <c r="P3" t="s">
        <v>30</v>
      </c>
      <c r="Q3">
        <v>1000</v>
      </c>
      <c r="W3">
        <v>0</v>
      </c>
      <c r="X3">
        <v>-179832266</v>
      </c>
      <c r="Y3">
        <v>0.12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0</v>
      </c>
      <c r="AP3">
        <v>0</v>
      </c>
      <c r="AQ3">
        <v>0</v>
      </c>
      <c r="AR3">
        <v>0</v>
      </c>
      <c r="AS3" t="s">
        <v>6</v>
      </c>
      <c r="AT3">
        <v>0.12</v>
      </c>
      <c r="AU3" t="s">
        <v>6</v>
      </c>
      <c r="AV3">
        <v>0</v>
      </c>
      <c r="AW3">
        <v>2</v>
      </c>
      <c r="AX3">
        <v>28315856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0.432</v>
      </c>
      <c r="CY3">
        <f>AA3</f>
        <v>0</v>
      </c>
      <c r="CZ3">
        <f>AE3</f>
        <v>0</v>
      </c>
      <c r="DA3">
        <f>AI3</f>
        <v>1</v>
      </c>
      <c r="DB3">
        <v>0</v>
      </c>
    </row>
    <row r="4" spans="1:106">
      <c r="A4">
        <f>ROW(Source!A26)</f>
        <v>26</v>
      </c>
      <c r="B4">
        <v>28315699</v>
      </c>
      <c r="C4">
        <v>28315858</v>
      </c>
      <c r="D4">
        <v>25871268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6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W4">
        <v>0</v>
      </c>
      <c r="X4">
        <v>735429535</v>
      </c>
      <c r="Y4">
        <v>14.38</v>
      </c>
      <c r="AA4">
        <v>0</v>
      </c>
      <c r="AB4">
        <v>0</v>
      </c>
      <c r="AC4">
        <v>0</v>
      </c>
      <c r="AD4">
        <v>7.8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6</v>
      </c>
      <c r="AT4">
        <v>14.38</v>
      </c>
      <c r="AU4" t="s">
        <v>6</v>
      </c>
      <c r="AV4">
        <v>1</v>
      </c>
      <c r="AW4">
        <v>2</v>
      </c>
      <c r="AX4">
        <v>28315861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Y4*Source!I26</f>
        <v>31.060800000000004</v>
      </c>
      <c r="CY4">
        <f>AD4</f>
        <v>7.8</v>
      </c>
      <c r="CZ4">
        <f>AH4</f>
        <v>7.8</v>
      </c>
      <c r="DA4">
        <f>AL4</f>
        <v>1</v>
      </c>
      <c r="DB4">
        <v>0</v>
      </c>
    </row>
    <row r="5" spans="1:106">
      <c r="A5">
        <f>ROW(Source!A26)</f>
        <v>26</v>
      </c>
      <c r="B5">
        <v>28315699</v>
      </c>
      <c r="C5">
        <v>28315858</v>
      </c>
      <c r="D5">
        <v>25685798</v>
      </c>
      <c r="E5">
        <v>1</v>
      </c>
      <c r="F5">
        <v>1</v>
      </c>
      <c r="G5">
        <v>1</v>
      </c>
      <c r="H5">
        <v>2</v>
      </c>
      <c r="I5" t="s">
        <v>302</v>
      </c>
      <c r="J5" t="s">
        <v>303</v>
      </c>
      <c r="K5" t="s">
        <v>304</v>
      </c>
      <c r="L5">
        <v>1368</v>
      </c>
      <c r="N5">
        <v>1011</v>
      </c>
      <c r="O5" t="s">
        <v>301</v>
      </c>
      <c r="P5" t="s">
        <v>301</v>
      </c>
      <c r="Q5">
        <v>1</v>
      </c>
      <c r="W5">
        <v>0</v>
      </c>
      <c r="X5">
        <v>-1985289705</v>
      </c>
      <c r="Y5">
        <v>6.22</v>
      </c>
      <c r="AA5">
        <v>0</v>
      </c>
      <c r="AB5">
        <v>21.58</v>
      </c>
      <c r="AC5">
        <v>0</v>
      </c>
      <c r="AD5">
        <v>0</v>
      </c>
      <c r="AE5">
        <v>0</v>
      </c>
      <c r="AF5">
        <v>6.66</v>
      </c>
      <c r="AG5">
        <v>0</v>
      </c>
      <c r="AH5">
        <v>0</v>
      </c>
      <c r="AI5">
        <v>1</v>
      </c>
      <c r="AJ5">
        <v>3.24</v>
      </c>
      <c r="AK5">
        <v>25.89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6</v>
      </c>
      <c r="AT5">
        <v>6.22</v>
      </c>
      <c r="AU5" t="s">
        <v>6</v>
      </c>
      <c r="AV5">
        <v>0</v>
      </c>
      <c r="AW5">
        <v>2</v>
      </c>
      <c r="AX5">
        <v>28315862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13.4352</v>
      </c>
      <c r="CY5">
        <f>AB5</f>
        <v>21.58</v>
      </c>
      <c r="CZ5">
        <f>AF5</f>
        <v>6.66</v>
      </c>
      <c r="DA5">
        <f>AJ5</f>
        <v>3.24</v>
      </c>
      <c r="DB5">
        <v>0</v>
      </c>
    </row>
    <row r="6" spans="1:106">
      <c r="A6">
        <f>ROW(Source!A27)</f>
        <v>27</v>
      </c>
      <c r="B6">
        <v>28315699</v>
      </c>
      <c r="C6">
        <v>28315863</v>
      </c>
      <c r="D6">
        <v>25876765</v>
      </c>
      <c r="E6">
        <v>1</v>
      </c>
      <c r="F6">
        <v>1</v>
      </c>
      <c r="G6">
        <v>1</v>
      </c>
      <c r="H6">
        <v>1</v>
      </c>
      <c r="I6" t="s">
        <v>305</v>
      </c>
      <c r="J6" t="s">
        <v>6</v>
      </c>
      <c r="K6" t="s">
        <v>306</v>
      </c>
      <c r="L6">
        <v>1191</v>
      </c>
      <c r="N6">
        <v>1013</v>
      </c>
      <c r="O6" t="s">
        <v>297</v>
      </c>
      <c r="P6" t="s">
        <v>297</v>
      </c>
      <c r="Q6">
        <v>1</v>
      </c>
      <c r="W6">
        <v>0</v>
      </c>
      <c r="X6">
        <v>-784637506</v>
      </c>
      <c r="Y6">
        <v>22.35</v>
      </c>
      <c r="AA6">
        <v>0</v>
      </c>
      <c r="AB6">
        <v>0</v>
      </c>
      <c r="AC6">
        <v>0</v>
      </c>
      <c r="AD6">
        <v>8.74</v>
      </c>
      <c r="AE6">
        <v>0</v>
      </c>
      <c r="AF6">
        <v>0</v>
      </c>
      <c r="AG6">
        <v>0</v>
      </c>
      <c r="AH6">
        <v>8.74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22.35</v>
      </c>
      <c r="AU6" t="s">
        <v>6</v>
      </c>
      <c r="AV6">
        <v>1</v>
      </c>
      <c r="AW6">
        <v>2</v>
      </c>
      <c r="AX6">
        <v>28315872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625.80000000000007</v>
      </c>
      <c r="CY6">
        <f>AD6</f>
        <v>8.74</v>
      </c>
      <c r="CZ6">
        <f>AH6</f>
        <v>8.74</v>
      </c>
      <c r="DA6">
        <f>AL6</f>
        <v>1</v>
      </c>
      <c r="DB6">
        <v>0</v>
      </c>
    </row>
    <row r="7" spans="1:106">
      <c r="A7">
        <f>ROW(Source!A27)</f>
        <v>27</v>
      </c>
      <c r="B7">
        <v>28315699</v>
      </c>
      <c r="C7">
        <v>28315863</v>
      </c>
      <c r="D7">
        <v>25871146</v>
      </c>
      <c r="E7">
        <v>1</v>
      </c>
      <c r="F7">
        <v>1</v>
      </c>
      <c r="G7">
        <v>1</v>
      </c>
      <c r="H7">
        <v>1</v>
      </c>
      <c r="I7" t="s">
        <v>307</v>
      </c>
      <c r="J7" t="s">
        <v>6</v>
      </c>
      <c r="K7" t="s">
        <v>308</v>
      </c>
      <c r="L7">
        <v>1191</v>
      </c>
      <c r="N7">
        <v>1013</v>
      </c>
      <c r="O7" t="s">
        <v>297</v>
      </c>
      <c r="P7" t="s">
        <v>297</v>
      </c>
      <c r="Q7">
        <v>1</v>
      </c>
      <c r="W7">
        <v>0</v>
      </c>
      <c r="X7">
        <v>-1417349443</v>
      </c>
      <c r="Y7">
        <v>0.25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6</v>
      </c>
      <c r="AT7">
        <v>0.25</v>
      </c>
      <c r="AU7" t="s">
        <v>6</v>
      </c>
      <c r="AV7">
        <v>2</v>
      </c>
      <c r="AW7">
        <v>2</v>
      </c>
      <c r="AX7">
        <v>28315873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Y7*Source!I27</f>
        <v>7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>
      <c r="A8">
        <f>ROW(Source!A27)</f>
        <v>27</v>
      </c>
      <c r="B8">
        <v>28315699</v>
      </c>
      <c r="C8">
        <v>28315863</v>
      </c>
      <c r="D8">
        <v>25685899</v>
      </c>
      <c r="E8">
        <v>1</v>
      </c>
      <c r="F8">
        <v>1</v>
      </c>
      <c r="G8">
        <v>1</v>
      </c>
      <c r="H8">
        <v>2</v>
      </c>
      <c r="I8" t="s">
        <v>309</v>
      </c>
      <c r="J8" t="s">
        <v>310</v>
      </c>
      <c r="K8" t="s">
        <v>311</v>
      </c>
      <c r="L8">
        <v>1368</v>
      </c>
      <c r="N8">
        <v>1011</v>
      </c>
      <c r="O8" t="s">
        <v>301</v>
      </c>
      <c r="P8" t="s">
        <v>301</v>
      </c>
      <c r="Q8">
        <v>1</v>
      </c>
      <c r="W8">
        <v>0</v>
      </c>
      <c r="X8">
        <v>1188625873</v>
      </c>
      <c r="Y8">
        <v>0.15</v>
      </c>
      <c r="AA8">
        <v>0</v>
      </c>
      <c r="AB8">
        <v>388.25</v>
      </c>
      <c r="AC8">
        <v>349.52</v>
      </c>
      <c r="AD8">
        <v>0</v>
      </c>
      <c r="AE8">
        <v>0</v>
      </c>
      <c r="AF8">
        <v>31.26</v>
      </c>
      <c r="AG8">
        <v>13.5</v>
      </c>
      <c r="AH8">
        <v>0</v>
      </c>
      <c r="AI8">
        <v>1</v>
      </c>
      <c r="AJ8">
        <v>12.42</v>
      </c>
      <c r="AK8">
        <v>25.89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6</v>
      </c>
      <c r="AT8">
        <v>0.15</v>
      </c>
      <c r="AU8" t="s">
        <v>6</v>
      </c>
      <c r="AV8">
        <v>0</v>
      </c>
      <c r="AW8">
        <v>2</v>
      </c>
      <c r="AX8">
        <v>28315874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Y8*Source!I27</f>
        <v>4.2</v>
      </c>
      <c r="CY8">
        <f>AB8</f>
        <v>388.25</v>
      </c>
      <c r="CZ8">
        <f>AF8</f>
        <v>31.26</v>
      </c>
      <c r="DA8">
        <f>AJ8</f>
        <v>12.42</v>
      </c>
      <c r="DB8">
        <v>0</v>
      </c>
    </row>
    <row r="9" spans="1:106">
      <c r="A9">
        <f>ROW(Source!A27)</f>
        <v>27</v>
      </c>
      <c r="B9">
        <v>28315699</v>
      </c>
      <c r="C9">
        <v>28315863</v>
      </c>
      <c r="D9">
        <v>25686229</v>
      </c>
      <c r="E9">
        <v>1</v>
      </c>
      <c r="F9">
        <v>1</v>
      </c>
      <c r="G9">
        <v>1</v>
      </c>
      <c r="H9">
        <v>2</v>
      </c>
      <c r="I9" t="s">
        <v>312</v>
      </c>
      <c r="J9" t="s">
        <v>313</v>
      </c>
      <c r="K9" t="s">
        <v>314</v>
      </c>
      <c r="L9">
        <v>1368</v>
      </c>
      <c r="N9">
        <v>1011</v>
      </c>
      <c r="O9" t="s">
        <v>301</v>
      </c>
      <c r="P9" t="s">
        <v>301</v>
      </c>
      <c r="Q9">
        <v>1</v>
      </c>
      <c r="W9">
        <v>0</v>
      </c>
      <c r="X9">
        <v>520357435</v>
      </c>
      <c r="Y9">
        <v>0.75</v>
      </c>
      <c r="AA9">
        <v>0</v>
      </c>
      <c r="AB9">
        <v>106.2</v>
      </c>
      <c r="AC9">
        <v>0</v>
      </c>
      <c r="AD9">
        <v>0</v>
      </c>
      <c r="AE9">
        <v>0</v>
      </c>
      <c r="AF9">
        <v>30</v>
      </c>
      <c r="AG9">
        <v>0</v>
      </c>
      <c r="AH9">
        <v>0</v>
      </c>
      <c r="AI9">
        <v>1</v>
      </c>
      <c r="AJ9">
        <v>3.54</v>
      </c>
      <c r="AK9">
        <v>25.89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6</v>
      </c>
      <c r="AT9">
        <v>0.75</v>
      </c>
      <c r="AU9" t="s">
        <v>6</v>
      </c>
      <c r="AV9">
        <v>0</v>
      </c>
      <c r="AW9">
        <v>2</v>
      </c>
      <c r="AX9">
        <v>28315875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21</v>
      </c>
      <c r="CY9">
        <f>AB9</f>
        <v>106.2</v>
      </c>
      <c r="CZ9">
        <f>AF9</f>
        <v>30</v>
      </c>
      <c r="DA9">
        <f>AJ9</f>
        <v>3.54</v>
      </c>
      <c r="DB9">
        <v>0</v>
      </c>
    </row>
    <row r="10" spans="1:106">
      <c r="A10">
        <f>ROW(Source!A27)</f>
        <v>27</v>
      </c>
      <c r="B10">
        <v>28315699</v>
      </c>
      <c r="C10">
        <v>28315863</v>
      </c>
      <c r="D10">
        <v>25687000</v>
      </c>
      <c r="E10">
        <v>1</v>
      </c>
      <c r="F10">
        <v>1</v>
      </c>
      <c r="G10">
        <v>1</v>
      </c>
      <c r="H10">
        <v>2</v>
      </c>
      <c r="I10" t="s">
        <v>315</v>
      </c>
      <c r="J10" t="s">
        <v>316</v>
      </c>
      <c r="K10" t="s">
        <v>317</v>
      </c>
      <c r="L10">
        <v>1368</v>
      </c>
      <c r="N10">
        <v>1011</v>
      </c>
      <c r="O10" t="s">
        <v>301</v>
      </c>
      <c r="P10" t="s">
        <v>301</v>
      </c>
      <c r="Q10">
        <v>1</v>
      </c>
      <c r="W10">
        <v>0</v>
      </c>
      <c r="X10">
        <v>1372534845</v>
      </c>
      <c r="Y10">
        <v>0.1</v>
      </c>
      <c r="AA10">
        <v>0</v>
      </c>
      <c r="AB10">
        <v>692.58</v>
      </c>
      <c r="AC10">
        <v>300.32</v>
      </c>
      <c r="AD10">
        <v>0</v>
      </c>
      <c r="AE10">
        <v>0</v>
      </c>
      <c r="AF10">
        <v>65.709999999999994</v>
      </c>
      <c r="AG10">
        <v>11.6</v>
      </c>
      <c r="AH10">
        <v>0</v>
      </c>
      <c r="AI10">
        <v>1</v>
      </c>
      <c r="AJ10">
        <v>10.54</v>
      </c>
      <c r="AK10">
        <v>25.89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0.1</v>
      </c>
      <c r="AU10" t="s">
        <v>6</v>
      </c>
      <c r="AV10">
        <v>0</v>
      </c>
      <c r="AW10">
        <v>2</v>
      </c>
      <c r="AX10">
        <v>28315876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2.8000000000000003</v>
      </c>
      <c r="CY10">
        <f>AB10</f>
        <v>692.58</v>
      </c>
      <c r="CZ10">
        <f>AF10</f>
        <v>65.709999999999994</v>
      </c>
      <c r="DA10">
        <f>AJ10</f>
        <v>10.54</v>
      </c>
      <c r="DB10">
        <v>0</v>
      </c>
    </row>
    <row r="11" spans="1:106">
      <c r="A11">
        <f>ROW(Source!A27)</f>
        <v>27</v>
      </c>
      <c r="B11">
        <v>28315699</v>
      </c>
      <c r="C11">
        <v>28315863</v>
      </c>
      <c r="D11">
        <v>25603142</v>
      </c>
      <c r="E11">
        <v>1</v>
      </c>
      <c r="F11">
        <v>1</v>
      </c>
      <c r="G11">
        <v>1</v>
      </c>
      <c r="H11">
        <v>3</v>
      </c>
      <c r="I11" t="s">
        <v>318</v>
      </c>
      <c r="J11" t="s">
        <v>319</v>
      </c>
      <c r="K11" t="s">
        <v>320</v>
      </c>
      <c r="L11">
        <v>1348</v>
      </c>
      <c r="N11">
        <v>1009</v>
      </c>
      <c r="O11" t="s">
        <v>30</v>
      </c>
      <c r="P11" t="s">
        <v>30</v>
      </c>
      <c r="Q11">
        <v>1000</v>
      </c>
      <c r="W11">
        <v>0</v>
      </c>
      <c r="X11">
        <v>-967072784</v>
      </c>
      <c r="Y11">
        <v>0.33</v>
      </c>
      <c r="AA11">
        <v>21831.599999999999</v>
      </c>
      <c r="AB11">
        <v>0</v>
      </c>
      <c r="AC11">
        <v>0</v>
      </c>
      <c r="AD11">
        <v>0</v>
      </c>
      <c r="AE11">
        <v>3390</v>
      </c>
      <c r="AF11">
        <v>0</v>
      </c>
      <c r="AG11">
        <v>0</v>
      </c>
      <c r="AH11">
        <v>0</v>
      </c>
      <c r="AI11">
        <v>6.44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6</v>
      </c>
      <c r="AT11">
        <v>0.33</v>
      </c>
      <c r="AU11" t="s">
        <v>6</v>
      </c>
      <c r="AV11">
        <v>0</v>
      </c>
      <c r="AW11">
        <v>2</v>
      </c>
      <c r="AX11">
        <v>28315877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Y11*Source!I27</f>
        <v>9.24</v>
      </c>
      <c r="CY11">
        <f>AA11</f>
        <v>21831.599999999999</v>
      </c>
      <c r="CZ11">
        <f>AE11</f>
        <v>3390</v>
      </c>
      <c r="DA11">
        <f>AI11</f>
        <v>6.44</v>
      </c>
      <c r="DB11">
        <v>0</v>
      </c>
    </row>
    <row r="12" spans="1:106">
      <c r="A12">
        <f>ROW(Source!A27)</f>
        <v>27</v>
      </c>
      <c r="B12">
        <v>28315699</v>
      </c>
      <c r="C12">
        <v>28315863</v>
      </c>
      <c r="D12">
        <v>25602320</v>
      </c>
      <c r="E12">
        <v>17</v>
      </c>
      <c r="F12">
        <v>1</v>
      </c>
      <c r="G12">
        <v>1</v>
      </c>
      <c r="H12">
        <v>3</v>
      </c>
      <c r="I12" t="s">
        <v>28</v>
      </c>
      <c r="J12" t="s">
        <v>6</v>
      </c>
      <c r="K12" t="s">
        <v>29</v>
      </c>
      <c r="L12">
        <v>1348</v>
      </c>
      <c r="N12">
        <v>1009</v>
      </c>
      <c r="O12" t="s">
        <v>30</v>
      </c>
      <c r="P12" t="s">
        <v>30</v>
      </c>
      <c r="Q12">
        <v>1000</v>
      </c>
      <c r="W12">
        <v>0</v>
      </c>
      <c r="X12">
        <v>-179832266</v>
      </c>
      <c r="Y12">
        <v>0.34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0</v>
      </c>
      <c r="AP12">
        <v>0</v>
      </c>
      <c r="AQ12">
        <v>0</v>
      </c>
      <c r="AR12">
        <v>0</v>
      </c>
      <c r="AS12" t="s">
        <v>6</v>
      </c>
      <c r="AT12">
        <v>0.34</v>
      </c>
      <c r="AU12" t="s">
        <v>6</v>
      </c>
      <c r="AV12">
        <v>0</v>
      </c>
      <c r="AW12">
        <v>2</v>
      </c>
      <c r="AX12">
        <v>28315878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Y12*Source!I27</f>
        <v>9.5200000000000014</v>
      </c>
      <c r="CY12">
        <f>AA12</f>
        <v>0</v>
      </c>
      <c r="CZ12">
        <f>AE12</f>
        <v>0</v>
      </c>
      <c r="DA12">
        <f>AI12</f>
        <v>1</v>
      </c>
      <c r="DB12">
        <v>0</v>
      </c>
    </row>
    <row r="13" spans="1:106">
      <c r="A13">
        <f>ROW(Source!A27)</f>
        <v>27</v>
      </c>
      <c r="B13">
        <v>28315699</v>
      </c>
      <c r="C13">
        <v>28315863</v>
      </c>
      <c r="D13">
        <v>25635900</v>
      </c>
      <c r="E13">
        <v>1</v>
      </c>
      <c r="F13">
        <v>1</v>
      </c>
      <c r="G13">
        <v>1</v>
      </c>
      <c r="H13">
        <v>3</v>
      </c>
      <c r="I13" t="s">
        <v>46</v>
      </c>
      <c r="J13" t="s">
        <v>49</v>
      </c>
      <c r="K13" t="s">
        <v>47</v>
      </c>
      <c r="L13">
        <v>1327</v>
      </c>
      <c r="N13">
        <v>1005</v>
      </c>
      <c r="O13" t="s">
        <v>48</v>
      </c>
      <c r="P13" t="s">
        <v>48</v>
      </c>
      <c r="Q13">
        <v>1</v>
      </c>
      <c r="W13">
        <v>0</v>
      </c>
      <c r="X13">
        <v>572784257</v>
      </c>
      <c r="Y13">
        <v>115</v>
      </c>
      <c r="AA13">
        <v>147.88999999999999</v>
      </c>
      <c r="AB13">
        <v>0</v>
      </c>
      <c r="AC13">
        <v>0</v>
      </c>
      <c r="AD13">
        <v>0</v>
      </c>
      <c r="AE13">
        <v>29.17</v>
      </c>
      <c r="AF13">
        <v>0</v>
      </c>
      <c r="AG13">
        <v>0</v>
      </c>
      <c r="AH13">
        <v>0</v>
      </c>
      <c r="AI13">
        <v>5.07</v>
      </c>
      <c r="AJ13">
        <v>1</v>
      </c>
      <c r="AK13">
        <v>1</v>
      </c>
      <c r="AL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 t="s">
        <v>6</v>
      </c>
      <c r="AT13">
        <v>115</v>
      </c>
      <c r="AU13" t="s">
        <v>6</v>
      </c>
      <c r="AV13">
        <v>0</v>
      </c>
      <c r="AW13">
        <v>1</v>
      </c>
      <c r="AX13">
        <v>-1</v>
      </c>
      <c r="AY13">
        <v>0</v>
      </c>
      <c r="AZ13">
        <v>0</v>
      </c>
      <c r="BA13" t="s">
        <v>6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Y13*Source!I27</f>
        <v>3220</v>
      </c>
      <c r="CY13">
        <f>AA13</f>
        <v>147.88999999999999</v>
      </c>
      <c r="CZ13">
        <f>AE13</f>
        <v>29.17</v>
      </c>
      <c r="DA13">
        <f>AI13</f>
        <v>5.07</v>
      </c>
      <c r="DB13">
        <v>0</v>
      </c>
    </row>
    <row r="14" spans="1:106">
      <c r="A14">
        <f>ROW(Source!A30)</f>
        <v>30</v>
      </c>
      <c r="B14">
        <v>28315699</v>
      </c>
      <c r="C14">
        <v>28316103</v>
      </c>
      <c r="D14">
        <v>25871198</v>
      </c>
      <c r="E14">
        <v>1</v>
      </c>
      <c r="F14">
        <v>1</v>
      </c>
      <c r="G14">
        <v>1</v>
      </c>
      <c r="H14">
        <v>1</v>
      </c>
      <c r="I14" t="s">
        <v>321</v>
      </c>
      <c r="J14" t="s">
        <v>6</v>
      </c>
      <c r="K14" t="s">
        <v>322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W14">
        <v>0</v>
      </c>
      <c r="X14">
        <v>145020957</v>
      </c>
      <c r="Y14">
        <v>21.608499999999996</v>
      </c>
      <c r="AA14">
        <v>0</v>
      </c>
      <c r="AB14">
        <v>0</v>
      </c>
      <c r="AC14">
        <v>0</v>
      </c>
      <c r="AD14">
        <v>9.07</v>
      </c>
      <c r="AE14">
        <v>0</v>
      </c>
      <c r="AF14">
        <v>0</v>
      </c>
      <c r="AG14">
        <v>0</v>
      </c>
      <c r="AH14">
        <v>9.07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6</v>
      </c>
      <c r="AT14">
        <v>18.79</v>
      </c>
      <c r="AU14" t="s">
        <v>56</v>
      </c>
      <c r="AV14">
        <v>1</v>
      </c>
      <c r="AW14">
        <v>2</v>
      </c>
      <c r="AX14">
        <v>28316110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77.790599999999984</v>
      </c>
      <c r="CY14">
        <f>AD14</f>
        <v>9.07</v>
      </c>
      <c r="CZ14">
        <f>AH14</f>
        <v>9.07</v>
      </c>
      <c r="DA14">
        <f>AL14</f>
        <v>1</v>
      </c>
      <c r="DB14">
        <v>0</v>
      </c>
    </row>
    <row r="15" spans="1:106">
      <c r="A15">
        <f>ROW(Source!A30)</f>
        <v>30</v>
      </c>
      <c r="B15">
        <v>28315699</v>
      </c>
      <c r="C15">
        <v>28316103</v>
      </c>
      <c r="D15">
        <v>25871146</v>
      </c>
      <c r="E15">
        <v>1</v>
      </c>
      <c r="F15">
        <v>1</v>
      </c>
      <c r="G15">
        <v>1</v>
      </c>
      <c r="H15">
        <v>1</v>
      </c>
      <c r="I15" t="s">
        <v>307</v>
      </c>
      <c r="J15" t="s">
        <v>6</v>
      </c>
      <c r="K15" t="s">
        <v>308</v>
      </c>
      <c r="L15">
        <v>1191</v>
      </c>
      <c r="N15">
        <v>1013</v>
      </c>
      <c r="O15" t="s">
        <v>297</v>
      </c>
      <c r="P15" t="s">
        <v>297</v>
      </c>
      <c r="Q15">
        <v>1</v>
      </c>
      <c r="W15">
        <v>0</v>
      </c>
      <c r="X15">
        <v>-1417349443</v>
      </c>
      <c r="Y15">
        <v>3.77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6</v>
      </c>
      <c r="AT15">
        <v>3.77</v>
      </c>
      <c r="AU15" t="s">
        <v>6</v>
      </c>
      <c r="AV15">
        <v>2</v>
      </c>
      <c r="AW15">
        <v>2</v>
      </c>
      <c r="AX15">
        <v>28316111</v>
      </c>
      <c r="AY15">
        <v>1</v>
      </c>
      <c r="AZ15">
        <v>2048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13.572000000000001</v>
      </c>
      <c r="CY15">
        <f>AD15</f>
        <v>0</v>
      </c>
      <c r="CZ15">
        <f>AH15</f>
        <v>0</v>
      </c>
      <c r="DA15">
        <f>AL15</f>
        <v>1</v>
      </c>
      <c r="DB15">
        <v>0</v>
      </c>
    </row>
    <row r="16" spans="1:106">
      <c r="A16">
        <f>ROW(Source!A30)</f>
        <v>30</v>
      </c>
      <c r="B16">
        <v>28315699</v>
      </c>
      <c r="C16">
        <v>28316103</v>
      </c>
      <c r="D16">
        <v>25685937</v>
      </c>
      <c r="E16">
        <v>1</v>
      </c>
      <c r="F16">
        <v>1</v>
      </c>
      <c r="G16">
        <v>1</v>
      </c>
      <c r="H16">
        <v>2</v>
      </c>
      <c r="I16" t="s">
        <v>323</v>
      </c>
      <c r="J16" t="s">
        <v>324</v>
      </c>
      <c r="K16" t="s">
        <v>325</v>
      </c>
      <c r="L16">
        <v>1368</v>
      </c>
      <c r="N16">
        <v>1011</v>
      </c>
      <c r="O16" t="s">
        <v>301</v>
      </c>
      <c r="P16" t="s">
        <v>301</v>
      </c>
      <c r="Q16">
        <v>1</v>
      </c>
      <c r="W16">
        <v>0</v>
      </c>
      <c r="X16">
        <v>-2077751731</v>
      </c>
      <c r="Y16">
        <v>10.575000000000001</v>
      </c>
      <c r="AA16">
        <v>0</v>
      </c>
      <c r="AB16">
        <v>195.01</v>
      </c>
      <c r="AC16">
        <v>0</v>
      </c>
      <c r="AD16">
        <v>0</v>
      </c>
      <c r="AE16">
        <v>0</v>
      </c>
      <c r="AF16">
        <v>53.87</v>
      </c>
      <c r="AG16">
        <v>0</v>
      </c>
      <c r="AH16">
        <v>0</v>
      </c>
      <c r="AI16">
        <v>1</v>
      </c>
      <c r="AJ16">
        <v>3.62</v>
      </c>
      <c r="AK16">
        <v>25.89</v>
      </c>
      <c r="AL16">
        <v>1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6</v>
      </c>
      <c r="AT16">
        <v>8.4600000000000009</v>
      </c>
      <c r="AU16" t="s">
        <v>55</v>
      </c>
      <c r="AV16">
        <v>0</v>
      </c>
      <c r="AW16">
        <v>2</v>
      </c>
      <c r="AX16">
        <v>28316112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38.070000000000007</v>
      </c>
      <c r="CY16">
        <f>AB16</f>
        <v>195.01</v>
      </c>
      <c r="CZ16">
        <f>AF16</f>
        <v>53.87</v>
      </c>
      <c r="DA16">
        <f>AJ16</f>
        <v>3.62</v>
      </c>
      <c r="DB16">
        <v>0</v>
      </c>
    </row>
    <row r="17" spans="1:106">
      <c r="A17">
        <f>ROW(Source!A30)</f>
        <v>30</v>
      </c>
      <c r="B17">
        <v>28315699</v>
      </c>
      <c r="C17">
        <v>28316103</v>
      </c>
      <c r="D17">
        <v>25687000</v>
      </c>
      <c r="E17">
        <v>1</v>
      </c>
      <c r="F17">
        <v>1</v>
      </c>
      <c r="G17">
        <v>1</v>
      </c>
      <c r="H17">
        <v>2</v>
      </c>
      <c r="I17" t="s">
        <v>315</v>
      </c>
      <c r="J17" t="s">
        <v>316</v>
      </c>
      <c r="K17" t="s">
        <v>317</v>
      </c>
      <c r="L17">
        <v>1368</v>
      </c>
      <c r="N17">
        <v>1011</v>
      </c>
      <c r="O17" t="s">
        <v>301</v>
      </c>
      <c r="P17" t="s">
        <v>301</v>
      </c>
      <c r="Q17">
        <v>1</v>
      </c>
      <c r="W17">
        <v>0</v>
      </c>
      <c r="X17">
        <v>1372534845</v>
      </c>
      <c r="Y17">
        <v>0.125</v>
      </c>
      <c r="AA17">
        <v>0</v>
      </c>
      <c r="AB17">
        <v>692.58</v>
      </c>
      <c r="AC17">
        <v>300.32</v>
      </c>
      <c r="AD17">
        <v>0</v>
      </c>
      <c r="AE17">
        <v>0</v>
      </c>
      <c r="AF17">
        <v>65.709999999999994</v>
      </c>
      <c r="AG17">
        <v>11.6</v>
      </c>
      <c r="AH17">
        <v>0</v>
      </c>
      <c r="AI17">
        <v>1</v>
      </c>
      <c r="AJ17">
        <v>10.54</v>
      </c>
      <c r="AK17">
        <v>25.89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6</v>
      </c>
      <c r="AT17">
        <v>0.1</v>
      </c>
      <c r="AU17" t="s">
        <v>55</v>
      </c>
      <c r="AV17">
        <v>0</v>
      </c>
      <c r="AW17">
        <v>2</v>
      </c>
      <c r="AX17">
        <v>28316113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0.45</v>
      </c>
      <c r="CY17">
        <f>AB17</f>
        <v>692.58</v>
      </c>
      <c r="CZ17">
        <f>AF17</f>
        <v>65.709999999999994</v>
      </c>
      <c r="DA17">
        <f>AJ17</f>
        <v>10.54</v>
      </c>
      <c r="DB17">
        <v>0</v>
      </c>
    </row>
    <row r="18" spans="1:106">
      <c r="A18">
        <f>ROW(Source!A30)</f>
        <v>30</v>
      </c>
      <c r="B18">
        <v>28315699</v>
      </c>
      <c r="C18">
        <v>28316103</v>
      </c>
      <c r="D18">
        <v>25687362</v>
      </c>
      <c r="E18">
        <v>1</v>
      </c>
      <c r="F18">
        <v>1</v>
      </c>
      <c r="G18">
        <v>1</v>
      </c>
      <c r="H18">
        <v>2</v>
      </c>
      <c r="I18" t="s">
        <v>326</v>
      </c>
      <c r="J18" t="s">
        <v>327</v>
      </c>
      <c r="K18" t="s">
        <v>328</v>
      </c>
      <c r="L18">
        <v>1368</v>
      </c>
      <c r="N18">
        <v>1011</v>
      </c>
      <c r="O18" t="s">
        <v>301</v>
      </c>
      <c r="P18" t="s">
        <v>301</v>
      </c>
      <c r="Q18">
        <v>1</v>
      </c>
      <c r="W18">
        <v>0</v>
      </c>
      <c r="X18">
        <v>-514543984</v>
      </c>
      <c r="Y18">
        <v>4.5875000000000004</v>
      </c>
      <c r="AA18">
        <v>0</v>
      </c>
      <c r="AB18">
        <v>645.29999999999995</v>
      </c>
      <c r="AC18">
        <v>260.45</v>
      </c>
      <c r="AD18">
        <v>0</v>
      </c>
      <c r="AE18">
        <v>0</v>
      </c>
      <c r="AF18">
        <v>90</v>
      </c>
      <c r="AG18">
        <v>10.06</v>
      </c>
      <c r="AH18">
        <v>0</v>
      </c>
      <c r="AI18">
        <v>1</v>
      </c>
      <c r="AJ18">
        <v>7.17</v>
      </c>
      <c r="AK18">
        <v>25.89</v>
      </c>
      <c r="AL18">
        <v>1</v>
      </c>
      <c r="AN18">
        <v>0</v>
      </c>
      <c r="AO18">
        <v>1</v>
      </c>
      <c r="AP18">
        <v>1</v>
      </c>
      <c r="AQ18">
        <v>0</v>
      </c>
      <c r="AR18">
        <v>0</v>
      </c>
      <c r="AS18" t="s">
        <v>6</v>
      </c>
      <c r="AT18">
        <v>3.67</v>
      </c>
      <c r="AU18" t="s">
        <v>55</v>
      </c>
      <c r="AV18">
        <v>0</v>
      </c>
      <c r="AW18">
        <v>2</v>
      </c>
      <c r="AX18">
        <v>28316114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Y18*Source!I30</f>
        <v>16.515000000000001</v>
      </c>
      <c r="CY18">
        <f>AB18</f>
        <v>645.29999999999995</v>
      </c>
      <c r="CZ18">
        <f>AF18</f>
        <v>90</v>
      </c>
      <c r="DA18">
        <f>AJ18</f>
        <v>7.17</v>
      </c>
      <c r="DB18">
        <v>0</v>
      </c>
    </row>
    <row r="19" spans="1:106">
      <c r="A19">
        <f>ROW(Source!A30)</f>
        <v>30</v>
      </c>
      <c r="B19">
        <v>28315699</v>
      </c>
      <c r="C19">
        <v>28316103</v>
      </c>
      <c r="D19">
        <v>25642212</v>
      </c>
      <c r="E19">
        <v>1</v>
      </c>
      <c r="F19">
        <v>1</v>
      </c>
      <c r="G19">
        <v>1</v>
      </c>
      <c r="H19">
        <v>3</v>
      </c>
      <c r="I19" t="s">
        <v>329</v>
      </c>
      <c r="J19" t="s">
        <v>330</v>
      </c>
      <c r="K19" t="s">
        <v>331</v>
      </c>
      <c r="L19">
        <v>1346</v>
      </c>
      <c r="N19">
        <v>1009</v>
      </c>
      <c r="O19" t="s">
        <v>107</v>
      </c>
      <c r="P19" t="s">
        <v>107</v>
      </c>
      <c r="Q19">
        <v>1</v>
      </c>
      <c r="W19">
        <v>0</v>
      </c>
      <c r="X19">
        <v>-1842419355</v>
      </c>
      <c r="Y19">
        <v>20.9</v>
      </c>
      <c r="AA19">
        <v>240.89</v>
      </c>
      <c r="AB19">
        <v>0</v>
      </c>
      <c r="AC19">
        <v>0</v>
      </c>
      <c r="AD19">
        <v>0</v>
      </c>
      <c r="AE19">
        <v>74.58</v>
      </c>
      <c r="AF19">
        <v>0</v>
      </c>
      <c r="AG19">
        <v>0</v>
      </c>
      <c r="AH19">
        <v>0</v>
      </c>
      <c r="AI19">
        <v>3.23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6</v>
      </c>
      <c r="AT19">
        <v>20.9</v>
      </c>
      <c r="AU19" t="s">
        <v>6</v>
      </c>
      <c r="AV19">
        <v>0</v>
      </c>
      <c r="AW19">
        <v>2</v>
      </c>
      <c r="AX19">
        <v>28316115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Y19*Source!I30</f>
        <v>75.239999999999995</v>
      </c>
      <c r="CY19">
        <f>AA19</f>
        <v>240.89</v>
      </c>
      <c r="CZ19">
        <f>AE19</f>
        <v>74.58</v>
      </c>
      <c r="DA19">
        <f>AI19</f>
        <v>3.23</v>
      </c>
      <c r="DB19">
        <v>0</v>
      </c>
    </row>
    <row r="20" spans="1:106">
      <c r="A20">
        <f>ROW(Source!A31)</f>
        <v>31</v>
      </c>
      <c r="B20">
        <v>28315699</v>
      </c>
      <c r="C20">
        <v>28315896</v>
      </c>
      <c r="D20">
        <v>25871248</v>
      </c>
      <c r="E20">
        <v>1</v>
      </c>
      <c r="F20">
        <v>1</v>
      </c>
      <c r="G20">
        <v>1</v>
      </c>
      <c r="H20">
        <v>1</v>
      </c>
      <c r="I20" t="s">
        <v>332</v>
      </c>
      <c r="J20" t="s">
        <v>6</v>
      </c>
      <c r="K20" t="s">
        <v>333</v>
      </c>
      <c r="L20">
        <v>1191</v>
      </c>
      <c r="N20">
        <v>1013</v>
      </c>
      <c r="O20" t="s">
        <v>297</v>
      </c>
      <c r="P20" t="s">
        <v>297</v>
      </c>
      <c r="Q20">
        <v>1</v>
      </c>
      <c r="W20">
        <v>0</v>
      </c>
      <c r="X20">
        <v>-719309759</v>
      </c>
      <c r="Y20">
        <v>129.9</v>
      </c>
      <c r="AA20">
        <v>0</v>
      </c>
      <c r="AB20">
        <v>0</v>
      </c>
      <c r="AC20">
        <v>0</v>
      </c>
      <c r="AD20">
        <v>8.86</v>
      </c>
      <c r="AE20">
        <v>0</v>
      </c>
      <c r="AF20">
        <v>0</v>
      </c>
      <c r="AG20">
        <v>0</v>
      </c>
      <c r="AH20">
        <v>8.86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6</v>
      </c>
      <c r="AT20">
        <v>129.9</v>
      </c>
      <c r="AU20" t="s">
        <v>6</v>
      </c>
      <c r="AV20">
        <v>1</v>
      </c>
      <c r="AW20">
        <v>2</v>
      </c>
      <c r="AX20">
        <v>28315904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1114.5420000000001</v>
      </c>
      <c r="CY20">
        <f>AD20</f>
        <v>8.86</v>
      </c>
      <c r="CZ20">
        <f>AH20</f>
        <v>8.86</v>
      </c>
      <c r="DA20">
        <f>AL20</f>
        <v>1</v>
      </c>
      <c r="DB20">
        <v>0</v>
      </c>
    </row>
    <row r="21" spans="1:106">
      <c r="A21">
        <f>ROW(Source!A31)</f>
        <v>31</v>
      </c>
      <c r="B21">
        <v>28315699</v>
      </c>
      <c r="C21">
        <v>28315896</v>
      </c>
      <c r="D21">
        <v>25685803</v>
      </c>
      <c r="E21">
        <v>1</v>
      </c>
      <c r="F21">
        <v>1</v>
      </c>
      <c r="G21">
        <v>1</v>
      </c>
      <c r="H21">
        <v>2</v>
      </c>
      <c r="I21" t="s">
        <v>298</v>
      </c>
      <c r="J21" t="s">
        <v>299</v>
      </c>
      <c r="K21" t="s">
        <v>300</v>
      </c>
      <c r="L21">
        <v>1368</v>
      </c>
      <c r="N21">
        <v>1011</v>
      </c>
      <c r="O21" t="s">
        <v>301</v>
      </c>
      <c r="P21" t="s">
        <v>301</v>
      </c>
      <c r="Q21">
        <v>1</v>
      </c>
      <c r="W21">
        <v>0</v>
      </c>
      <c r="X21">
        <v>1047452784</v>
      </c>
      <c r="Y21">
        <v>2.1</v>
      </c>
      <c r="AA21">
        <v>0</v>
      </c>
      <c r="AB21">
        <v>5.81</v>
      </c>
      <c r="AC21">
        <v>0</v>
      </c>
      <c r="AD21">
        <v>0</v>
      </c>
      <c r="AE21">
        <v>0</v>
      </c>
      <c r="AF21">
        <v>1.7</v>
      </c>
      <c r="AG21">
        <v>0</v>
      </c>
      <c r="AH21">
        <v>0</v>
      </c>
      <c r="AI21">
        <v>1</v>
      </c>
      <c r="AJ21">
        <v>3.42</v>
      </c>
      <c r="AK21">
        <v>25.89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6</v>
      </c>
      <c r="AT21">
        <v>2.1</v>
      </c>
      <c r="AU21" t="s">
        <v>6</v>
      </c>
      <c r="AV21">
        <v>0</v>
      </c>
      <c r="AW21">
        <v>2</v>
      </c>
      <c r="AX21">
        <v>28315905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18.018000000000001</v>
      </c>
      <c r="CY21">
        <f>AB21</f>
        <v>5.81</v>
      </c>
      <c r="CZ21">
        <f>AF21</f>
        <v>1.7</v>
      </c>
      <c r="DA21">
        <f>AJ21</f>
        <v>3.42</v>
      </c>
      <c r="DB21">
        <v>0</v>
      </c>
    </row>
    <row r="22" spans="1:106">
      <c r="A22">
        <f>ROW(Source!A31)</f>
        <v>31</v>
      </c>
      <c r="B22">
        <v>28315699</v>
      </c>
      <c r="C22">
        <v>28315896</v>
      </c>
      <c r="D22">
        <v>25687367</v>
      </c>
      <c r="E22">
        <v>1</v>
      </c>
      <c r="F22">
        <v>1</v>
      </c>
      <c r="G22">
        <v>1</v>
      </c>
      <c r="H22">
        <v>2</v>
      </c>
      <c r="I22" t="s">
        <v>334</v>
      </c>
      <c r="J22" t="s">
        <v>335</v>
      </c>
      <c r="K22" t="s">
        <v>336</v>
      </c>
      <c r="L22">
        <v>1368</v>
      </c>
      <c r="N22">
        <v>1011</v>
      </c>
      <c r="O22" t="s">
        <v>301</v>
      </c>
      <c r="P22" t="s">
        <v>301</v>
      </c>
      <c r="Q22">
        <v>1</v>
      </c>
      <c r="W22">
        <v>0</v>
      </c>
      <c r="X22">
        <v>-2111251057</v>
      </c>
      <c r="Y22">
        <v>1.38</v>
      </c>
      <c r="AA22">
        <v>0</v>
      </c>
      <c r="AB22">
        <v>83.53</v>
      </c>
      <c r="AC22">
        <v>0</v>
      </c>
      <c r="AD22">
        <v>0</v>
      </c>
      <c r="AE22">
        <v>0</v>
      </c>
      <c r="AF22">
        <v>32.5</v>
      </c>
      <c r="AG22">
        <v>0</v>
      </c>
      <c r="AH22">
        <v>0</v>
      </c>
      <c r="AI22">
        <v>1</v>
      </c>
      <c r="AJ22">
        <v>2.57</v>
      </c>
      <c r="AK22">
        <v>25.89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6</v>
      </c>
      <c r="AT22">
        <v>1.38</v>
      </c>
      <c r="AU22" t="s">
        <v>6</v>
      </c>
      <c r="AV22">
        <v>0</v>
      </c>
      <c r="AW22">
        <v>2</v>
      </c>
      <c r="AX22">
        <v>28315906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11.840399999999999</v>
      </c>
      <c r="CY22">
        <f>AB22</f>
        <v>83.53</v>
      </c>
      <c r="CZ22">
        <f>AF22</f>
        <v>32.5</v>
      </c>
      <c r="DA22">
        <f>AJ22</f>
        <v>2.57</v>
      </c>
      <c r="DB22">
        <v>0</v>
      </c>
    </row>
    <row r="23" spans="1:106">
      <c r="A23">
        <f>ROW(Source!A31)</f>
        <v>31</v>
      </c>
      <c r="B23">
        <v>28315699</v>
      </c>
      <c r="C23">
        <v>28315896</v>
      </c>
      <c r="D23">
        <v>25687962</v>
      </c>
      <c r="E23">
        <v>1</v>
      </c>
      <c r="F23">
        <v>1</v>
      </c>
      <c r="G23">
        <v>1</v>
      </c>
      <c r="H23">
        <v>2</v>
      </c>
      <c r="I23" t="s">
        <v>337</v>
      </c>
      <c r="J23" t="s">
        <v>338</v>
      </c>
      <c r="K23" t="s">
        <v>339</v>
      </c>
      <c r="L23">
        <v>1368</v>
      </c>
      <c r="N23">
        <v>1011</v>
      </c>
      <c r="O23" t="s">
        <v>301</v>
      </c>
      <c r="P23" t="s">
        <v>301</v>
      </c>
      <c r="Q23">
        <v>1</v>
      </c>
      <c r="W23">
        <v>0</v>
      </c>
      <c r="X23">
        <v>1518765163</v>
      </c>
      <c r="Y23">
        <v>1.38</v>
      </c>
      <c r="AA23">
        <v>0</v>
      </c>
      <c r="AB23">
        <v>4.6500000000000004</v>
      </c>
      <c r="AC23">
        <v>0</v>
      </c>
      <c r="AD23">
        <v>0</v>
      </c>
      <c r="AE23">
        <v>0</v>
      </c>
      <c r="AF23">
        <v>1.53</v>
      </c>
      <c r="AG23">
        <v>0</v>
      </c>
      <c r="AH23">
        <v>0</v>
      </c>
      <c r="AI23">
        <v>1</v>
      </c>
      <c r="AJ23">
        <v>3.04</v>
      </c>
      <c r="AK23">
        <v>25.89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6</v>
      </c>
      <c r="AT23">
        <v>1.38</v>
      </c>
      <c r="AU23" t="s">
        <v>6</v>
      </c>
      <c r="AV23">
        <v>0</v>
      </c>
      <c r="AW23">
        <v>2</v>
      </c>
      <c r="AX23">
        <v>28315907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Y23*Source!I31</f>
        <v>11.840399999999999</v>
      </c>
      <c r="CY23">
        <f>AB23</f>
        <v>4.6500000000000004</v>
      </c>
      <c r="CZ23">
        <f>AF23</f>
        <v>1.53</v>
      </c>
      <c r="DA23">
        <f>AJ23</f>
        <v>3.04</v>
      </c>
      <c r="DB23">
        <v>0</v>
      </c>
    </row>
    <row r="24" spans="1:106">
      <c r="A24">
        <f>ROW(Source!A31)</f>
        <v>31</v>
      </c>
      <c r="B24">
        <v>28315699</v>
      </c>
      <c r="C24">
        <v>28315896</v>
      </c>
      <c r="D24">
        <v>25602320</v>
      </c>
      <c r="E24">
        <v>17</v>
      </c>
      <c r="F24">
        <v>1</v>
      </c>
      <c r="G24">
        <v>1</v>
      </c>
      <c r="H24">
        <v>3</v>
      </c>
      <c r="I24" t="s">
        <v>28</v>
      </c>
      <c r="J24" t="s">
        <v>6</v>
      </c>
      <c r="K24" t="s">
        <v>29</v>
      </c>
      <c r="L24">
        <v>1348</v>
      </c>
      <c r="N24">
        <v>1009</v>
      </c>
      <c r="O24" t="s">
        <v>30</v>
      </c>
      <c r="P24" t="s">
        <v>30</v>
      </c>
      <c r="Q24">
        <v>1000</v>
      </c>
      <c r="W24">
        <v>0</v>
      </c>
      <c r="X24">
        <v>-179832266</v>
      </c>
      <c r="Y24">
        <v>1.48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1.48</v>
      </c>
      <c r="AU24" t="s">
        <v>6</v>
      </c>
      <c r="AV24">
        <v>0</v>
      </c>
      <c r="AW24">
        <v>2</v>
      </c>
      <c r="AX24">
        <v>28315908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Y24*Source!I31</f>
        <v>12.698399999999999</v>
      </c>
      <c r="CY24">
        <f>AA24</f>
        <v>0</v>
      </c>
      <c r="CZ24">
        <f>AE24</f>
        <v>0</v>
      </c>
      <c r="DA24">
        <f>AI24</f>
        <v>1</v>
      </c>
      <c r="DB24">
        <v>0</v>
      </c>
    </row>
    <row r="25" spans="1:106">
      <c r="A25">
        <f>ROW(Source!A31)</f>
        <v>31</v>
      </c>
      <c r="B25">
        <v>28315699</v>
      </c>
      <c r="C25">
        <v>28315896</v>
      </c>
      <c r="D25">
        <v>25609791</v>
      </c>
      <c r="E25">
        <v>1</v>
      </c>
      <c r="F25">
        <v>1</v>
      </c>
      <c r="G25">
        <v>1</v>
      </c>
      <c r="H25">
        <v>3</v>
      </c>
      <c r="I25" t="s">
        <v>67</v>
      </c>
      <c r="J25" t="s">
        <v>69</v>
      </c>
      <c r="K25" t="s">
        <v>68</v>
      </c>
      <c r="L25">
        <v>1348</v>
      </c>
      <c r="N25">
        <v>1009</v>
      </c>
      <c r="O25" t="s">
        <v>30</v>
      </c>
      <c r="P25" t="s">
        <v>30</v>
      </c>
      <c r="Q25">
        <v>1000</v>
      </c>
      <c r="W25">
        <v>0</v>
      </c>
      <c r="X25">
        <v>-1187323236</v>
      </c>
      <c r="Y25">
        <v>2.1000000000000001E-2</v>
      </c>
      <c r="AA25">
        <v>4416.6400000000003</v>
      </c>
      <c r="AB25">
        <v>0</v>
      </c>
      <c r="AC25">
        <v>0</v>
      </c>
      <c r="AD25">
        <v>0</v>
      </c>
      <c r="AE25">
        <v>412</v>
      </c>
      <c r="AF25">
        <v>0</v>
      </c>
      <c r="AG25">
        <v>0</v>
      </c>
      <c r="AH25">
        <v>0</v>
      </c>
      <c r="AI25">
        <v>10.72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2.1000000000000001E-2</v>
      </c>
      <c r="AU25" t="s">
        <v>6</v>
      </c>
      <c r="AV25">
        <v>0</v>
      </c>
      <c r="AW25">
        <v>1</v>
      </c>
      <c r="AX25">
        <v>-1</v>
      </c>
      <c r="AY25">
        <v>0</v>
      </c>
      <c r="AZ25">
        <v>0</v>
      </c>
      <c r="BA25" t="s">
        <v>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Y25*Source!I31</f>
        <v>0.18018000000000001</v>
      </c>
      <c r="CY25">
        <f>AA25</f>
        <v>4416.6400000000003</v>
      </c>
      <c r="CZ25">
        <f>AE25</f>
        <v>412</v>
      </c>
      <c r="DA25">
        <f>AI25</f>
        <v>10.72</v>
      </c>
      <c r="DB25">
        <v>0</v>
      </c>
    </row>
    <row r="26" spans="1:106">
      <c r="A26">
        <f>ROW(Source!A31)</f>
        <v>31</v>
      </c>
      <c r="B26">
        <v>28315699</v>
      </c>
      <c r="C26">
        <v>28315896</v>
      </c>
      <c r="D26">
        <v>25610588</v>
      </c>
      <c r="E26">
        <v>1</v>
      </c>
      <c r="F26">
        <v>1</v>
      </c>
      <c r="G26">
        <v>1</v>
      </c>
      <c r="H26">
        <v>3</v>
      </c>
      <c r="I26" t="s">
        <v>71</v>
      </c>
      <c r="J26" t="s">
        <v>74</v>
      </c>
      <c r="K26" t="s">
        <v>72</v>
      </c>
      <c r="L26">
        <v>1339</v>
      </c>
      <c r="N26">
        <v>1007</v>
      </c>
      <c r="O26" t="s">
        <v>73</v>
      </c>
      <c r="P26" t="s">
        <v>73</v>
      </c>
      <c r="Q26">
        <v>1</v>
      </c>
      <c r="W26">
        <v>0</v>
      </c>
      <c r="X26">
        <v>519185539</v>
      </c>
      <c r="Y26">
        <v>2.14</v>
      </c>
      <c r="AA26">
        <v>2957.66</v>
      </c>
      <c r="AB26">
        <v>0</v>
      </c>
      <c r="AC26">
        <v>0</v>
      </c>
      <c r="AD26">
        <v>0</v>
      </c>
      <c r="AE26">
        <v>519.79999999999995</v>
      </c>
      <c r="AF26">
        <v>0</v>
      </c>
      <c r="AG26">
        <v>0</v>
      </c>
      <c r="AH26">
        <v>0</v>
      </c>
      <c r="AI26">
        <v>5.69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2.14</v>
      </c>
      <c r="AU26" t="s">
        <v>6</v>
      </c>
      <c r="AV26">
        <v>0</v>
      </c>
      <c r="AW26">
        <v>1</v>
      </c>
      <c r="AX26">
        <v>-1</v>
      </c>
      <c r="AY26">
        <v>0</v>
      </c>
      <c r="AZ26">
        <v>0</v>
      </c>
      <c r="BA26" t="s">
        <v>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Y26*Source!I31</f>
        <v>18.3612</v>
      </c>
      <c r="CY26">
        <f>AA26</f>
        <v>2957.66</v>
      </c>
      <c r="CZ26">
        <f>AE26</f>
        <v>519.79999999999995</v>
      </c>
      <c r="DA26">
        <f>AI26</f>
        <v>5.69</v>
      </c>
      <c r="DB26">
        <v>0</v>
      </c>
    </row>
    <row r="27" spans="1:106">
      <c r="A27">
        <f>ROW(Source!A35)</f>
        <v>35</v>
      </c>
      <c r="B27">
        <v>28315699</v>
      </c>
      <c r="C27">
        <v>28315914</v>
      </c>
      <c r="D27">
        <v>25876472</v>
      </c>
      <c r="E27">
        <v>1</v>
      </c>
      <c r="F27">
        <v>1</v>
      </c>
      <c r="G27">
        <v>1</v>
      </c>
      <c r="H27">
        <v>1</v>
      </c>
      <c r="I27" t="s">
        <v>340</v>
      </c>
      <c r="J27" t="s">
        <v>6</v>
      </c>
      <c r="K27" t="s">
        <v>341</v>
      </c>
      <c r="L27">
        <v>1191</v>
      </c>
      <c r="N27">
        <v>1013</v>
      </c>
      <c r="O27" t="s">
        <v>297</v>
      </c>
      <c r="P27" t="s">
        <v>297</v>
      </c>
      <c r="Q27">
        <v>1</v>
      </c>
      <c r="W27">
        <v>0</v>
      </c>
      <c r="X27">
        <v>1983201532</v>
      </c>
      <c r="Y27">
        <v>110.64</v>
      </c>
      <c r="AA27">
        <v>0</v>
      </c>
      <c r="AB27">
        <v>0</v>
      </c>
      <c r="AC27">
        <v>0</v>
      </c>
      <c r="AD27">
        <v>9.51</v>
      </c>
      <c r="AE27">
        <v>0</v>
      </c>
      <c r="AF27">
        <v>0</v>
      </c>
      <c r="AG27">
        <v>0</v>
      </c>
      <c r="AH27">
        <v>9.51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6</v>
      </c>
      <c r="AT27">
        <v>110.64</v>
      </c>
      <c r="AU27" t="s">
        <v>6</v>
      </c>
      <c r="AV27">
        <v>1</v>
      </c>
      <c r="AW27">
        <v>2</v>
      </c>
      <c r="AX27">
        <v>28315918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Y27*Source!I35</f>
        <v>33.192</v>
      </c>
      <c r="CY27">
        <f>AD27</f>
        <v>9.51</v>
      </c>
      <c r="CZ27">
        <f>AH27</f>
        <v>9.51</v>
      </c>
      <c r="DA27">
        <f>AL27</f>
        <v>1</v>
      </c>
      <c r="DB27">
        <v>0</v>
      </c>
    </row>
    <row r="28" spans="1:106">
      <c r="A28">
        <f>ROW(Source!A35)</f>
        <v>35</v>
      </c>
      <c r="B28">
        <v>28315699</v>
      </c>
      <c r="C28">
        <v>28315914</v>
      </c>
      <c r="D28">
        <v>25687367</v>
      </c>
      <c r="E28">
        <v>1</v>
      </c>
      <c r="F28">
        <v>1</v>
      </c>
      <c r="G28">
        <v>1</v>
      </c>
      <c r="H28">
        <v>2</v>
      </c>
      <c r="I28" t="s">
        <v>334</v>
      </c>
      <c r="J28" t="s">
        <v>335</v>
      </c>
      <c r="K28" t="s">
        <v>336</v>
      </c>
      <c r="L28">
        <v>1368</v>
      </c>
      <c r="N28">
        <v>1011</v>
      </c>
      <c r="O28" t="s">
        <v>301</v>
      </c>
      <c r="P28" t="s">
        <v>301</v>
      </c>
      <c r="Q28">
        <v>1</v>
      </c>
      <c r="W28">
        <v>0</v>
      </c>
      <c r="X28">
        <v>-2111251057</v>
      </c>
      <c r="Y28">
        <v>30.57</v>
      </c>
      <c r="AA28">
        <v>0</v>
      </c>
      <c r="AB28">
        <v>83.53</v>
      </c>
      <c r="AC28">
        <v>0</v>
      </c>
      <c r="AD28">
        <v>0</v>
      </c>
      <c r="AE28">
        <v>0</v>
      </c>
      <c r="AF28">
        <v>32.5</v>
      </c>
      <c r="AG28">
        <v>0</v>
      </c>
      <c r="AH28">
        <v>0</v>
      </c>
      <c r="AI28">
        <v>1</v>
      </c>
      <c r="AJ28">
        <v>2.57</v>
      </c>
      <c r="AK28">
        <v>25.89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6</v>
      </c>
      <c r="AT28">
        <v>30.57</v>
      </c>
      <c r="AU28" t="s">
        <v>6</v>
      </c>
      <c r="AV28">
        <v>0</v>
      </c>
      <c r="AW28">
        <v>2</v>
      </c>
      <c r="AX28">
        <v>28315919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Y28*Source!I35</f>
        <v>9.1709999999999994</v>
      </c>
      <c r="CY28">
        <f>AB28</f>
        <v>83.53</v>
      </c>
      <c r="CZ28">
        <f>AF28</f>
        <v>32.5</v>
      </c>
      <c r="DA28">
        <f>AJ28</f>
        <v>2.57</v>
      </c>
      <c r="DB28">
        <v>0</v>
      </c>
    </row>
    <row r="29" spans="1:106">
      <c r="A29">
        <f>ROW(Source!A35)</f>
        <v>35</v>
      </c>
      <c r="B29">
        <v>28315699</v>
      </c>
      <c r="C29">
        <v>28315914</v>
      </c>
      <c r="D29">
        <v>25687962</v>
      </c>
      <c r="E29">
        <v>1</v>
      </c>
      <c r="F29">
        <v>1</v>
      </c>
      <c r="G29">
        <v>1</v>
      </c>
      <c r="H29">
        <v>2</v>
      </c>
      <c r="I29" t="s">
        <v>337</v>
      </c>
      <c r="J29" t="s">
        <v>338</v>
      </c>
      <c r="K29" t="s">
        <v>339</v>
      </c>
      <c r="L29">
        <v>1368</v>
      </c>
      <c r="N29">
        <v>1011</v>
      </c>
      <c r="O29" t="s">
        <v>301</v>
      </c>
      <c r="P29" t="s">
        <v>301</v>
      </c>
      <c r="Q29">
        <v>1</v>
      </c>
      <c r="W29">
        <v>0</v>
      </c>
      <c r="X29">
        <v>1518765163</v>
      </c>
      <c r="Y29">
        <v>61.14</v>
      </c>
      <c r="AA29">
        <v>0</v>
      </c>
      <c r="AB29">
        <v>4.6500000000000004</v>
      </c>
      <c r="AC29">
        <v>0</v>
      </c>
      <c r="AD29">
        <v>0</v>
      </c>
      <c r="AE29">
        <v>0</v>
      </c>
      <c r="AF29">
        <v>1.53</v>
      </c>
      <c r="AG29">
        <v>0</v>
      </c>
      <c r="AH29">
        <v>0</v>
      </c>
      <c r="AI29">
        <v>1</v>
      </c>
      <c r="AJ29">
        <v>3.04</v>
      </c>
      <c r="AK29">
        <v>25.89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61.14</v>
      </c>
      <c r="AU29" t="s">
        <v>6</v>
      </c>
      <c r="AV29">
        <v>0</v>
      </c>
      <c r="AW29">
        <v>2</v>
      </c>
      <c r="AX29">
        <v>28315920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Y29*Source!I35</f>
        <v>18.341999999999999</v>
      </c>
      <c r="CY29">
        <f>AB29</f>
        <v>4.6500000000000004</v>
      </c>
      <c r="CZ29">
        <f>AF29</f>
        <v>1.53</v>
      </c>
      <c r="DA29">
        <f>AJ29</f>
        <v>3.04</v>
      </c>
      <c r="DB29">
        <v>0</v>
      </c>
    </row>
    <row r="30" spans="1:106">
      <c r="A30">
        <f>ROW(Source!A36)</f>
        <v>36</v>
      </c>
      <c r="B30">
        <v>28315699</v>
      </c>
      <c r="C30">
        <v>28315921</v>
      </c>
      <c r="D30">
        <v>25871518</v>
      </c>
      <c r="E30">
        <v>1</v>
      </c>
      <c r="F30">
        <v>1</v>
      </c>
      <c r="G30">
        <v>1</v>
      </c>
      <c r="H30">
        <v>1</v>
      </c>
      <c r="I30" t="s">
        <v>342</v>
      </c>
      <c r="J30" t="s">
        <v>6</v>
      </c>
      <c r="K30" t="s">
        <v>343</v>
      </c>
      <c r="L30">
        <v>1191</v>
      </c>
      <c r="N30">
        <v>1013</v>
      </c>
      <c r="O30" t="s">
        <v>297</v>
      </c>
      <c r="P30" t="s">
        <v>297</v>
      </c>
      <c r="Q30">
        <v>1</v>
      </c>
      <c r="W30">
        <v>0</v>
      </c>
      <c r="X30">
        <v>-400197608</v>
      </c>
      <c r="Y30">
        <v>3.3579999999999997</v>
      </c>
      <c r="AA30">
        <v>0</v>
      </c>
      <c r="AB30">
        <v>0</v>
      </c>
      <c r="AC30">
        <v>0</v>
      </c>
      <c r="AD30">
        <v>8.5299999999999994</v>
      </c>
      <c r="AE30">
        <v>0</v>
      </c>
      <c r="AF30">
        <v>0</v>
      </c>
      <c r="AG30">
        <v>0</v>
      </c>
      <c r="AH30">
        <v>8.5299999999999994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6</v>
      </c>
      <c r="AT30">
        <v>2.92</v>
      </c>
      <c r="AU30" t="s">
        <v>56</v>
      </c>
      <c r="AV30">
        <v>1</v>
      </c>
      <c r="AW30">
        <v>2</v>
      </c>
      <c r="AX30">
        <v>28315930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Y30*Source!I36</f>
        <v>10.073999999999998</v>
      </c>
      <c r="CY30">
        <f>AD30</f>
        <v>8.5299999999999994</v>
      </c>
      <c r="CZ30">
        <f>AH30</f>
        <v>8.5299999999999994</v>
      </c>
      <c r="DA30">
        <f>AL30</f>
        <v>1</v>
      </c>
      <c r="DB30">
        <v>0</v>
      </c>
    </row>
    <row r="31" spans="1:106">
      <c r="A31">
        <f>ROW(Source!A36)</f>
        <v>36</v>
      </c>
      <c r="B31">
        <v>28315699</v>
      </c>
      <c r="C31">
        <v>28315921</v>
      </c>
      <c r="D31">
        <v>25871146</v>
      </c>
      <c r="E31">
        <v>1</v>
      </c>
      <c r="F31">
        <v>1</v>
      </c>
      <c r="G31">
        <v>1</v>
      </c>
      <c r="H31">
        <v>1</v>
      </c>
      <c r="I31" t="s">
        <v>307</v>
      </c>
      <c r="J31" t="s">
        <v>6</v>
      </c>
      <c r="K31" t="s">
        <v>308</v>
      </c>
      <c r="L31">
        <v>1191</v>
      </c>
      <c r="N31">
        <v>1013</v>
      </c>
      <c r="O31" t="s">
        <v>297</v>
      </c>
      <c r="P31" t="s">
        <v>297</v>
      </c>
      <c r="Q31">
        <v>1</v>
      </c>
      <c r="W31">
        <v>0</v>
      </c>
      <c r="X31">
        <v>-1417349443</v>
      </c>
      <c r="Y31">
        <v>0.01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0.01</v>
      </c>
      <c r="AU31" t="s">
        <v>6</v>
      </c>
      <c r="AV31">
        <v>2</v>
      </c>
      <c r="AW31">
        <v>2</v>
      </c>
      <c r="AX31">
        <v>28315931</v>
      </c>
      <c r="AY31">
        <v>1</v>
      </c>
      <c r="AZ31">
        <v>2048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Y31*Source!I36</f>
        <v>0.03</v>
      </c>
      <c r="CY31">
        <f>AD31</f>
        <v>0</v>
      </c>
      <c r="CZ31">
        <f>AH31</f>
        <v>0</v>
      </c>
      <c r="DA31">
        <f>AL31</f>
        <v>1</v>
      </c>
      <c r="DB31">
        <v>0</v>
      </c>
    </row>
    <row r="32" spans="1:106">
      <c r="A32">
        <f>ROW(Source!A36)</f>
        <v>36</v>
      </c>
      <c r="B32">
        <v>28315699</v>
      </c>
      <c r="C32">
        <v>28315921</v>
      </c>
      <c r="D32">
        <v>25685785</v>
      </c>
      <c r="E32">
        <v>1</v>
      </c>
      <c r="F32">
        <v>1</v>
      </c>
      <c r="G32">
        <v>1</v>
      </c>
      <c r="H32">
        <v>2</v>
      </c>
      <c r="I32" t="s">
        <v>344</v>
      </c>
      <c r="J32" t="s">
        <v>345</v>
      </c>
      <c r="K32" t="s">
        <v>346</v>
      </c>
      <c r="L32">
        <v>1368</v>
      </c>
      <c r="N32">
        <v>1011</v>
      </c>
      <c r="O32" t="s">
        <v>301</v>
      </c>
      <c r="P32" t="s">
        <v>301</v>
      </c>
      <c r="Q32">
        <v>1</v>
      </c>
      <c r="W32">
        <v>0</v>
      </c>
      <c r="X32">
        <v>1373224040</v>
      </c>
      <c r="Y32">
        <v>0.82500000000000007</v>
      </c>
      <c r="AA32">
        <v>0</v>
      </c>
      <c r="AB32">
        <v>10.83</v>
      </c>
      <c r="AC32">
        <v>0</v>
      </c>
      <c r="AD32">
        <v>0</v>
      </c>
      <c r="AE32">
        <v>0</v>
      </c>
      <c r="AF32">
        <v>3.12</v>
      </c>
      <c r="AG32">
        <v>0</v>
      </c>
      <c r="AH32">
        <v>0</v>
      </c>
      <c r="AI32">
        <v>1</v>
      </c>
      <c r="AJ32">
        <v>3.47</v>
      </c>
      <c r="AK32">
        <v>25.89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6</v>
      </c>
      <c r="AT32">
        <v>0.66</v>
      </c>
      <c r="AU32" t="s">
        <v>55</v>
      </c>
      <c r="AV32">
        <v>0</v>
      </c>
      <c r="AW32">
        <v>2</v>
      </c>
      <c r="AX32">
        <v>28315932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Y32*Source!I36</f>
        <v>2.4750000000000001</v>
      </c>
      <c r="CY32">
        <f>AB32</f>
        <v>10.83</v>
      </c>
      <c r="CZ32">
        <f>AF32</f>
        <v>3.12</v>
      </c>
      <c r="DA32">
        <f>AJ32</f>
        <v>3.47</v>
      </c>
      <c r="DB32">
        <v>0</v>
      </c>
    </row>
    <row r="33" spans="1:106">
      <c r="A33">
        <f>ROW(Source!A36)</f>
        <v>36</v>
      </c>
      <c r="B33">
        <v>28315699</v>
      </c>
      <c r="C33">
        <v>28315921</v>
      </c>
      <c r="D33">
        <v>25687000</v>
      </c>
      <c r="E33">
        <v>1</v>
      </c>
      <c r="F33">
        <v>1</v>
      </c>
      <c r="G33">
        <v>1</v>
      </c>
      <c r="H33">
        <v>2</v>
      </c>
      <c r="I33" t="s">
        <v>315</v>
      </c>
      <c r="J33" t="s">
        <v>316</v>
      </c>
      <c r="K33" t="s">
        <v>317</v>
      </c>
      <c r="L33">
        <v>1368</v>
      </c>
      <c r="N33">
        <v>1011</v>
      </c>
      <c r="O33" t="s">
        <v>301</v>
      </c>
      <c r="P33" t="s">
        <v>301</v>
      </c>
      <c r="Q33">
        <v>1</v>
      </c>
      <c r="W33">
        <v>0</v>
      </c>
      <c r="X33">
        <v>1372534845</v>
      </c>
      <c r="Y33">
        <v>1.2500000000000001E-2</v>
      </c>
      <c r="AA33">
        <v>0</v>
      </c>
      <c r="AB33">
        <v>692.58</v>
      </c>
      <c r="AC33">
        <v>300.32</v>
      </c>
      <c r="AD33">
        <v>0</v>
      </c>
      <c r="AE33">
        <v>0</v>
      </c>
      <c r="AF33">
        <v>65.709999999999994</v>
      </c>
      <c r="AG33">
        <v>11.6</v>
      </c>
      <c r="AH33">
        <v>0</v>
      </c>
      <c r="AI33">
        <v>1</v>
      </c>
      <c r="AJ33">
        <v>10.54</v>
      </c>
      <c r="AK33">
        <v>25.89</v>
      </c>
      <c r="AL33">
        <v>1</v>
      </c>
      <c r="AN33">
        <v>0</v>
      </c>
      <c r="AO33">
        <v>1</v>
      </c>
      <c r="AP33">
        <v>1</v>
      </c>
      <c r="AQ33">
        <v>0</v>
      </c>
      <c r="AR33">
        <v>0</v>
      </c>
      <c r="AS33" t="s">
        <v>6</v>
      </c>
      <c r="AT33">
        <v>0.01</v>
      </c>
      <c r="AU33" t="s">
        <v>55</v>
      </c>
      <c r="AV33">
        <v>0</v>
      </c>
      <c r="AW33">
        <v>2</v>
      </c>
      <c r="AX33">
        <v>28315933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Y33*Source!I36</f>
        <v>3.7500000000000006E-2</v>
      </c>
      <c r="CY33">
        <f>AB33</f>
        <v>692.58</v>
      </c>
      <c r="CZ33">
        <f>AF33</f>
        <v>65.709999999999994</v>
      </c>
      <c r="DA33">
        <f>AJ33</f>
        <v>10.54</v>
      </c>
      <c r="DB33">
        <v>0</v>
      </c>
    </row>
    <row r="34" spans="1:106">
      <c r="A34">
        <f>ROW(Source!A36)</f>
        <v>36</v>
      </c>
      <c r="B34">
        <v>28315699</v>
      </c>
      <c r="C34">
        <v>28315921</v>
      </c>
      <c r="D34">
        <v>25602922</v>
      </c>
      <c r="E34">
        <v>1</v>
      </c>
      <c r="F34">
        <v>1</v>
      </c>
      <c r="G34">
        <v>1</v>
      </c>
      <c r="H34">
        <v>3</v>
      </c>
      <c r="I34" t="s">
        <v>347</v>
      </c>
      <c r="J34" t="s">
        <v>348</v>
      </c>
      <c r="K34" t="s">
        <v>349</v>
      </c>
      <c r="L34">
        <v>1348</v>
      </c>
      <c r="N34">
        <v>1009</v>
      </c>
      <c r="O34" t="s">
        <v>30</v>
      </c>
      <c r="P34" t="s">
        <v>30</v>
      </c>
      <c r="Q34">
        <v>1000</v>
      </c>
      <c r="W34">
        <v>0</v>
      </c>
      <c r="X34">
        <v>731670393</v>
      </c>
      <c r="Y34">
        <v>5.0000000000000002E-5</v>
      </c>
      <c r="AA34">
        <v>245115.75</v>
      </c>
      <c r="AB34">
        <v>0</v>
      </c>
      <c r="AC34">
        <v>0</v>
      </c>
      <c r="AD34">
        <v>0</v>
      </c>
      <c r="AE34">
        <v>26499</v>
      </c>
      <c r="AF34">
        <v>0</v>
      </c>
      <c r="AG34">
        <v>0</v>
      </c>
      <c r="AH34">
        <v>0</v>
      </c>
      <c r="AI34">
        <v>9.25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6</v>
      </c>
      <c r="AT34">
        <v>5.0000000000000002E-5</v>
      </c>
      <c r="AU34" t="s">
        <v>6</v>
      </c>
      <c r="AV34">
        <v>0</v>
      </c>
      <c r="AW34">
        <v>2</v>
      </c>
      <c r="AX34">
        <v>28315934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Y34*Source!I36</f>
        <v>1.5000000000000001E-4</v>
      </c>
      <c r="CY34">
        <f>AA34</f>
        <v>245115.75</v>
      </c>
      <c r="CZ34">
        <f>AE34</f>
        <v>26499</v>
      </c>
      <c r="DA34">
        <f>AI34</f>
        <v>9.25</v>
      </c>
      <c r="DB34">
        <v>0</v>
      </c>
    </row>
    <row r="35" spans="1:106">
      <c r="A35">
        <f>ROW(Source!A36)</f>
        <v>36</v>
      </c>
      <c r="B35">
        <v>28315699</v>
      </c>
      <c r="C35">
        <v>28315921</v>
      </c>
      <c r="D35">
        <v>25607693</v>
      </c>
      <c r="E35">
        <v>1</v>
      </c>
      <c r="F35">
        <v>1</v>
      </c>
      <c r="G35">
        <v>1</v>
      </c>
      <c r="H35">
        <v>3</v>
      </c>
      <c r="I35" t="s">
        <v>350</v>
      </c>
      <c r="J35" t="s">
        <v>351</v>
      </c>
      <c r="K35" t="s">
        <v>352</v>
      </c>
      <c r="L35">
        <v>1348</v>
      </c>
      <c r="N35">
        <v>1009</v>
      </c>
      <c r="O35" t="s">
        <v>30</v>
      </c>
      <c r="P35" t="s">
        <v>30</v>
      </c>
      <c r="Q35">
        <v>1000</v>
      </c>
      <c r="W35">
        <v>0</v>
      </c>
      <c r="X35">
        <v>-437906794</v>
      </c>
      <c r="Y35">
        <v>3.0000000000000001E-5</v>
      </c>
      <c r="AA35">
        <v>84252.89</v>
      </c>
      <c r="AB35">
        <v>0</v>
      </c>
      <c r="AC35">
        <v>0</v>
      </c>
      <c r="AD35">
        <v>0</v>
      </c>
      <c r="AE35">
        <v>9040.01</v>
      </c>
      <c r="AF35">
        <v>0</v>
      </c>
      <c r="AG35">
        <v>0</v>
      </c>
      <c r="AH35">
        <v>0</v>
      </c>
      <c r="AI35">
        <v>9.32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6</v>
      </c>
      <c r="AT35">
        <v>3.0000000000000001E-5</v>
      </c>
      <c r="AU35" t="s">
        <v>6</v>
      </c>
      <c r="AV35">
        <v>0</v>
      </c>
      <c r="AW35">
        <v>2</v>
      </c>
      <c r="AX35">
        <v>28315935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Y35*Source!I36</f>
        <v>9.0000000000000006E-5</v>
      </c>
      <c r="CY35">
        <f>AA35</f>
        <v>84252.89</v>
      </c>
      <c r="CZ35">
        <f>AE35</f>
        <v>9040.01</v>
      </c>
      <c r="DA35">
        <f>AI35</f>
        <v>9.32</v>
      </c>
      <c r="DB35">
        <v>0</v>
      </c>
    </row>
    <row r="36" spans="1:106">
      <c r="A36">
        <f>ROW(Source!A36)</f>
        <v>36</v>
      </c>
      <c r="B36">
        <v>28315699</v>
      </c>
      <c r="C36">
        <v>28315921</v>
      </c>
      <c r="D36">
        <v>25608576</v>
      </c>
      <c r="E36">
        <v>1</v>
      </c>
      <c r="F36">
        <v>1</v>
      </c>
      <c r="G36">
        <v>1</v>
      </c>
      <c r="H36">
        <v>3</v>
      </c>
      <c r="I36" t="s">
        <v>353</v>
      </c>
      <c r="J36" t="s">
        <v>354</v>
      </c>
      <c r="K36" t="s">
        <v>355</v>
      </c>
      <c r="L36">
        <v>1346</v>
      </c>
      <c r="N36">
        <v>1009</v>
      </c>
      <c r="O36" t="s">
        <v>107</v>
      </c>
      <c r="P36" t="s">
        <v>107</v>
      </c>
      <c r="Q36">
        <v>1</v>
      </c>
      <c r="W36">
        <v>0</v>
      </c>
      <c r="X36">
        <v>-731615568</v>
      </c>
      <c r="Y36">
        <v>0.115</v>
      </c>
      <c r="AA36">
        <v>90.74</v>
      </c>
      <c r="AB36">
        <v>0</v>
      </c>
      <c r="AC36">
        <v>0</v>
      </c>
      <c r="AD36">
        <v>0</v>
      </c>
      <c r="AE36">
        <v>23.09</v>
      </c>
      <c r="AF36">
        <v>0</v>
      </c>
      <c r="AG36">
        <v>0</v>
      </c>
      <c r="AH36">
        <v>0</v>
      </c>
      <c r="AI36">
        <v>3.93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6</v>
      </c>
      <c r="AT36">
        <v>0.115</v>
      </c>
      <c r="AU36" t="s">
        <v>6</v>
      </c>
      <c r="AV36">
        <v>0</v>
      </c>
      <c r="AW36">
        <v>2</v>
      </c>
      <c r="AX36">
        <v>28315936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Y36*Source!I36</f>
        <v>0.34500000000000003</v>
      </c>
      <c r="CY36">
        <f>AA36</f>
        <v>90.74</v>
      </c>
      <c r="CZ36">
        <f>AE36</f>
        <v>23.09</v>
      </c>
      <c r="DA36">
        <f>AI36</f>
        <v>3.93</v>
      </c>
      <c r="DB36">
        <v>0</v>
      </c>
    </row>
    <row r="37" spans="1:106">
      <c r="A37">
        <f>ROW(Source!A36)</f>
        <v>36</v>
      </c>
      <c r="B37">
        <v>28315699</v>
      </c>
      <c r="C37">
        <v>28315921</v>
      </c>
      <c r="D37">
        <v>25635778</v>
      </c>
      <c r="E37">
        <v>1</v>
      </c>
      <c r="F37">
        <v>1</v>
      </c>
      <c r="G37">
        <v>1</v>
      </c>
      <c r="H37">
        <v>3</v>
      </c>
      <c r="I37" t="s">
        <v>88</v>
      </c>
      <c r="J37" t="s">
        <v>91</v>
      </c>
      <c r="K37" t="s">
        <v>89</v>
      </c>
      <c r="L37">
        <v>1354</v>
      </c>
      <c r="N37">
        <v>1010</v>
      </c>
      <c r="O37" t="s">
        <v>90</v>
      </c>
      <c r="P37" t="s">
        <v>90</v>
      </c>
      <c r="Q37">
        <v>1</v>
      </c>
      <c r="W37">
        <v>0</v>
      </c>
      <c r="X37">
        <v>-157094020</v>
      </c>
      <c r="Y37">
        <v>1</v>
      </c>
      <c r="AA37">
        <v>248.33</v>
      </c>
      <c r="AB37">
        <v>0</v>
      </c>
      <c r="AC37">
        <v>0</v>
      </c>
      <c r="AD37">
        <v>0</v>
      </c>
      <c r="AE37">
        <v>54.34</v>
      </c>
      <c r="AF37">
        <v>0</v>
      </c>
      <c r="AG37">
        <v>0</v>
      </c>
      <c r="AH37">
        <v>0</v>
      </c>
      <c r="AI37">
        <v>4.57</v>
      </c>
      <c r="AJ37">
        <v>1</v>
      </c>
      <c r="AK37">
        <v>1</v>
      </c>
      <c r="AL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1</v>
      </c>
      <c r="AU37" t="s">
        <v>6</v>
      </c>
      <c r="AV37">
        <v>0</v>
      </c>
      <c r="AW37">
        <v>1</v>
      </c>
      <c r="AX37">
        <v>-1</v>
      </c>
      <c r="AY37">
        <v>0</v>
      </c>
      <c r="AZ37">
        <v>0</v>
      </c>
      <c r="BA37" t="s">
        <v>6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Y37*Source!I36</f>
        <v>3</v>
      </c>
      <c r="CY37">
        <f>AA37</f>
        <v>248.33</v>
      </c>
      <c r="CZ37">
        <f>AE37</f>
        <v>54.34</v>
      </c>
      <c r="DA37">
        <f>AI37</f>
        <v>4.57</v>
      </c>
      <c r="DB37">
        <v>0</v>
      </c>
    </row>
    <row r="38" spans="1:106">
      <c r="A38">
        <f>ROW(Source!A38)</f>
        <v>38</v>
      </c>
      <c r="B38">
        <v>28315699</v>
      </c>
      <c r="C38">
        <v>28315970</v>
      </c>
      <c r="D38">
        <v>25871518</v>
      </c>
      <c r="E38">
        <v>1</v>
      </c>
      <c r="F38">
        <v>1</v>
      </c>
      <c r="G38">
        <v>1</v>
      </c>
      <c r="H38">
        <v>1</v>
      </c>
      <c r="I38" t="s">
        <v>342</v>
      </c>
      <c r="J38" t="s">
        <v>6</v>
      </c>
      <c r="K38" t="s">
        <v>343</v>
      </c>
      <c r="L38">
        <v>1191</v>
      </c>
      <c r="N38">
        <v>1013</v>
      </c>
      <c r="O38" t="s">
        <v>297</v>
      </c>
      <c r="P38" t="s">
        <v>297</v>
      </c>
      <c r="Q38">
        <v>1</v>
      </c>
      <c r="W38">
        <v>0</v>
      </c>
      <c r="X38">
        <v>-400197608</v>
      </c>
      <c r="Y38">
        <v>0.11499999999999999</v>
      </c>
      <c r="AA38">
        <v>0</v>
      </c>
      <c r="AB38">
        <v>0</v>
      </c>
      <c r="AC38">
        <v>0</v>
      </c>
      <c r="AD38">
        <v>8.5299999999999994</v>
      </c>
      <c r="AE38">
        <v>0</v>
      </c>
      <c r="AF38">
        <v>0</v>
      </c>
      <c r="AG38">
        <v>0</v>
      </c>
      <c r="AH38">
        <v>8.5299999999999994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6</v>
      </c>
      <c r="AT38">
        <v>0.1</v>
      </c>
      <c r="AU38" t="s">
        <v>56</v>
      </c>
      <c r="AV38">
        <v>1</v>
      </c>
      <c r="AW38">
        <v>2</v>
      </c>
      <c r="AX38">
        <v>28315972</v>
      </c>
      <c r="AY38">
        <v>1</v>
      </c>
      <c r="AZ38">
        <v>0</v>
      </c>
      <c r="BA38">
        <v>39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Y38*Source!I38</f>
        <v>919.65499999999997</v>
      </c>
      <c r="CY38">
        <f>AD38</f>
        <v>8.5299999999999994</v>
      </c>
      <c r="CZ38">
        <f>AH38</f>
        <v>8.5299999999999994</v>
      </c>
      <c r="DA38">
        <f>AL38</f>
        <v>1</v>
      </c>
      <c r="DB38">
        <v>0</v>
      </c>
    </row>
    <row r="39" spans="1:106">
      <c r="A39">
        <f>ROW(Source!A39)</f>
        <v>39</v>
      </c>
      <c r="B39">
        <v>28315699</v>
      </c>
      <c r="C39">
        <v>28315973</v>
      </c>
      <c r="D39">
        <v>25887051</v>
      </c>
      <c r="E39">
        <v>1</v>
      </c>
      <c r="F39">
        <v>1</v>
      </c>
      <c r="G39">
        <v>1</v>
      </c>
      <c r="H39">
        <v>1</v>
      </c>
      <c r="I39" t="s">
        <v>356</v>
      </c>
      <c r="J39" t="s">
        <v>6</v>
      </c>
      <c r="K39" t="s">
        <v>357</v>
      </c>
      <c r="L39">
        <v>1191</v>
      </c>
      <c r="N39">
        <v>1013</v>
      </c>
      <c r="O39" t="s">
        <v>297</v>
      </c>
      <c r="P39" t="s">
        <v>297</v>
      </c>
      <c r="Q39">
        <v>1</v>
      </c>
      <c r="W39">
        <v>0</v>
      </c>
      <c r="X39">
        <v>912892513</v>
      </c>
      <c r="Y39">
        <v>36.834499999999998</v>
      </c>
      <c r="AA39">
        <v>0</v>
      </c>
      <c r="AB39">
        <v>0</v>
      </c>
      <c r="AC39">
        <v>0</v>
      </c>
      <c r="AD39">
        <v>9.92</v>
      </c>
      <c r="AE39">
        <v>0</v>
      </c>
      <c r="AF39">
        <v>0</v>
      </c>
      <c r="AG39">
        <v>0</v>
      </c>
      <c r="AH39">
        <v>9.92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1</v>
      </c>
      <c r="AQ39">
        <v>0</v>
      </c>
      <c r="AR39">
        <v>0</v>
      </c>
      <c r="AS39" t="s">
        <v>6</v>
      </c>
      <c r="AT39">
        <v>32.03</v>
      </c>
      <c r="AU39" t="s">
        <v>56</v>
      </c>
      <c r="AV39">
        <v>1</v>
      </c>
      <c r="AW39">
        <v>2</v>
      </c>
      <c r="AX39">
        <v>28315986</v>
      </c>
      <c r="AY39">
        <v>1</v>
      </c>
      <c r="AZ39">
        <v>0</v>
      </c>
      <c r="BA39">
        <v>40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Y39*Source!I39</f>
        <v>4530.6435000000001</v>
      </c>
      <c r="CY39">
        <f>AD39</f>
        <v>9.92</v>
      </c>
      <c r="CZ39">
        <f>AH39</f>
        <v>9.92</v>
      </c>
      <c r="DA39">
        <f>AL39</f>
        <v>1</v>
      </c>
      <c r="DB39">
        <v>0</v>
      </c>
    </row>
    <row r="40" spans="1:106">
      <c r="A40">
        <f>ROW(Source!A39)</f>
        <v>39</v>
      </c>
      <c r="B40">
        <v>28315699</v>
      </c>
      <c r="C40">
        <v>28315973</v>
      </c>
      <c r="D40">
        <v>25871146</v>
      </c>
      <c r="E40">
        <v>1</v>
      </c>
      <c r="F40">
        <v>1</v>
      </c>
      <c r="G40">
        <v>1</v>
      </c>
      <c r="H40">
        <v>1</v>
      </c>
      <c r="I40" t="s">
        <v>307</v>
      </c>
      <c r="J40" t="s">
        <v>6</v>
      </c>
      <c r="K40" t="s">
        <v>308</v>
      </c>
      <c r="L40">
        <v>1191</v>
      </c>
      <c r="N40">
        <v>1013</v>
      </c>
      <c r="O40" t="s">
        <v>297</v>
      </c>
      <c r="P40" t="s">
        <v>297</v>
      </c>
      <c r="Q40">
        <v>1</v>
      </c>
      <c r="W40">
        <v>0</v>
      </c>
      <c r="X40">
        <v>-1417349443</v>
      </c>
      <c r="Y40">
        <v>0.34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6</v>
      </c>
      <c r="AT40">
        <v>0.34</v>
      </c>
      <c r="AU40" t="s">
        <v>6</v>
      </c>
      <c r="AV40">
        <v>2</v>
      </c>
      <c r="AW40">
        <v>2</v>
      </c>
      <c r="AX40">
        <v>28315987</v>
      </c>
      <c r="AY40">
        <v>1</v>
      </c>
      <c r="AZ40">
        <v>2048</v>
      </c>
      <c r="BA40">
        <v>41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Y40*Source!I39</f>
        <v>41.82</v>
      </c>
      <c r="CY40">
        <f>AD40</f>
        <v>0</v>
      </c>
      <c r="CZ40">
        <f>AH40</f>
        <v>0</v>
      </c>
      <c r="DA40">
        <f>AL40</f>
        <v>1</v>
      </c>
      <c r="DB40">
        <v>0</v>
      </c>
    </row>
    <row r="41" spans="1:106">
      <c r="A41">
        <f>ROW(Source!A39)</f>
        <v>39</v>
      </c>
      <c r="B41">
        <v>28315699</v>
      </c>
      <c r="C41">
        <v>28315973</v>
      </c>
      <c r="D41">
        <v>25687000</v>
      </c>
      <c r="E41">
        <v>1</v>
      </c>
      <c r="F41">
        <v>1</v>
      </c>
      <c r="G41">
        <v>1</v>
      </c>
      <c r="H41">
        <v>2</v>
      </c>
      <c r="I41" t="s">
        <v>315</v>
      </c>
      <c r="J41" t="s">
        <v>316</v>
      </c>
      <c r="K41" t="s">
        <v>317</v>
      </c>
      <c r="L41">
        <v>1368</v>
      </c>
      <c r="N41">
        <v>1011</v>
      </c>
      <c r="O41" t="s">
        <v>301</v>
      </c>
      <c r="P41" t="s">
        <v>301</v>
      </c>
      <c r="Q41">
        <v>1</v>
      </c>
      <c r="W41">
        <v>0</v>
      </c>
      <c r="X41">
        <v>1372534845</v>
      </c>
      <c r="Y41">
        <v>0.42500000000000004</v>
      </c>
      <c r="AA41">
        <v>0</v>
      </c>
      <c r="AB41">
        <v>692.58</v>
      </c>
      <c r="AC41">
        <v>300.32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10.54</v>
      </c>
      <c r="AK41">
        <v>25.89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6</v>
      </c>
      <c r="AT41">
        <v>0.34</v>
      </c>
      <c r="AU41" t="s">
        <v>55</v>
      </c>
      <c r="AV41">
        <v>0</v>
      </c>
      <c r="AW41">
        <v>2</v>
      </c>
      <c r="AX41">
        <v>28315988</v>
      </c>
      <c r="AY41">
        <v>1</v>
      </c>
      <c r="AZ41">
        <v>0</v>
      </c>
      <c r="BA41">
        <v>42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Y41*Source!I39</f>
        <v>52.275000000000006</v>
      </c>
      <c r="CY41">
        <f>AB41</f>
        <v>692.58</v>
      </c>
      <c r="CZ41">
        <f>AF41</f>
        <v>65.709999999999994</v>
      </c>
      <c r="DA41">
        <f>AJ41</f>
        <v>10.54</v>
      </c>
      <c r="DB41">
        <v>0</v>
      </c>
    </row>
    <row r="42" spans="1:106">
      <c r="A42">
        <f>ROW(Source!A39)</f>
        <v>39</v>
      </c>
      <c r="B42">
        <v>28315699</v>
      </c>
      <c r="C42">
        <v>28315973</v>
      </c>
      <c r="D42">
        <v>25688208</v>
      </c>
      <c r="E42">
        <v>1</v>
      </c>
      <c r="F42">
        <v>1</v>
      </c>
      <c r="G42">
        <v>1</v>
      </c>
      <c r="H42">
        <v>2</v>
      </c>
      <c r="I42" t="s">
        <v>358</v>
      </c>
      <c r="J42" t="s">
        <v>359</v>
      </c>
      <c r="K42" t="s">
        <v>360</v>
      </c>
      <c r="L42">
        <v>1368</v>
      </c>
      <c r="N42">
        <v>1011</v>
      </c>
      <c r="O42" t="s">
        <v>301</v>
      </c>
      <c r="P42" t="s">
        <v>301</v>
      </c>
      <c r="Q42">
        <v>1</v>
      </c>
      <c r="W42">
        <v>0</v>
      </c>
      <c r="X42">
        <v>363848026</v>
      </c>
      <c r="Y42">
        <v>10.024999999999999</v>
      </c>
      <c r="AA42">
        <v>0</v>
      </c>
      <c r="AB42">
        <v>123.21</v>
      </c>
      <c r="AC42">
        <v>0</v>
      </c>
      <c r="AD42">
        <v>0</v>
      </c>
      <c r="AE42">
        <v>0</v>
      </c>
      <c r="AF42">
        <v>35.61</v>
      </c>
      <c r="AG42">
        <v>0</v>
      </c>
      <c r="AH42">
        <v>0</v>
      </c>
      <c r="AI42">
        <v>1</v>
      </c>
      <c r="AJ42">
        <v>3.46</v>
      </c>
      <c r="AK42">
        <v>25.89</v>
      </c>
      <c r="AL42">
        <v>1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6</v>
      </c>
      <c r="AT42">
        <v>8.02</v>
      </c>
      <c r="AU42" t="s">
        <v>55</v>
      </c>
      <c r="AV42">
        <v>0</v>
      </c>
      <c r="AW42">
        <v>2</v>
      </c>
      <c r="AX42">
        <v>28315989</v>
      </c>
      <c r="AY42">
        <v>1</v>
      </c>
      <c r="AZ42">
        <v>0</v>
      </c>
      <c r="BA42">
        <v>43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Y42*Source!I39</f>
        <v>1233.0749999999998</v>
      </c>
      <c r="CY42">
        <f>AB42</f>
        <v>123.21</v>
      </c>
      <c r="CZ42">
        <f>AF42</f>
        <v>35.61</v>
      </c>
      <c r="DA42">
        <f>AJ42</f>
        <v>3.46</v>
      </c>
      <c r="DB42">
        <v>0</v>
      </c>
    </row>
    <row r="43" spans="1:106">
      <c r="A43">
        <f>ROW(Source!A39)</f>
        <v>39</v>
      </c>
      <c r="B43">
        <v>28315699</v>
      </c>
      <c r="C43">
        <v>28315973</v>
      </c>
      <c r="D43">
        <v>25605318</v>
      </c>
      <c r="E43">
        <v>1</v>
      </c>
      <c r="F43">
        <v>1</v>
      </c>
      <c r="G43">
        <v>1</v>
      </c>
      <c r="H43">
        <v>3</v>
      </c>
      <c r="I43" t="s">
        <v>361</v>
      </c>
      <c r="J43" t="s">
        <v>362</v>
      </c>
      <c r="K43" t="s">
        <v>363</v>
      </c>
      <c r="L43">
        <v>1346</v>
      </c>
      <c r="N43">
        <v>1009</v>
      </c>
      <c r="O43" t="s">
        <v>107</v>
      </c>
      <c r="P43" t="s">
        <v>107</v>
      </c>
      <c r="Q43">
        <v>1</v>
      </c>
      <c r="W43">
        <v>0</v>
      </c>
      <c r="X43">
        <v>-771343331</v>
      </c>
      <c r="Y43">
        <v>0.52600000000000002</v>
      </c>
      <c r="AA43">
        <v>286.72000000000003</v>
      </c>
      <c r="AB43">
        <v>0</v>
      </c>
      <c r="AC43">
        <v>0</v>
      </c>
      <c r="AD43">
        <v>0</v>
      </c>
      <c r="AE43">
        <v>112</v>
      </c>
      <c r="AF43">
        <v>0</v>
      </c>
      <c r="AG43">
        <v>0</v>
      </c>
      <c r="AH43">
        <v>0</v>
      </c>
      <c r="AI43">
        <v>2.56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6</v>
      </c>
      <c r="AT43">
        <v>0.52600000000000002</v>
      </c>
      <c r="AU43" t="s">
        <v>6</v>
      </c>
      <c r="AV43">
        <v>0</v>
      </c>
      <c r="AW43">
        <v>2</v>
      </c>
      <c r="AX43">
        <v>28315990</v>
      </c>
      <c r="AY43">
        <v>1</v>
      </c>
      <c r="AZ43">
        <v>0</v>
      </c>
      <c r="BA43">
        <v>44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Y43*Source!I39</f>
        <v>64.698000000000008</v>
      </c>
      <c r="CY43">
        <f t="shared" ref="CY43:CY50" si="0">AA43</f>
        <v>286.72000000000003</v>
      </c>
      <c r="CZ43">
        <f t="shared" ref="CZ43:CZ50" si="1">AE43</f>
        <v>112</v>
      </c>
      <c r="DA43">
        <f t="shared" ref="DA43:DA50" si="2">AI43</f>
        <v>2.56</v>
      </c>
      <c r="DB43">
        <v>0</v>
      </c>
    </row>
    <row r="44" spans="1:106">
      <c r="A44">
        <f>ROW(Source!A39)</f>
        <v>39</v>
      </c>
      <c r="B44">
        <v>28315699</v>
      </c>
      <c r="C44">
        <v>28315973</v>
      </c>
      <c r="D44">
        <v>25605550</v>
      </c>
      <c r="E44">
        <v>1</v>
      </c>
      <c r="F44">
        <v>1</v>
      </c>
      <c r="G44">
        <v>1</v>
      </c>
      <c r="H44">
        <v>3</v>
      </c>
      <c r="I44" t="s">
        <v>364</v>
      </c>
      <c r="J44" t="s">
        <v>365</v>
      </c>
      <c r="K44" t="s">
        <v>366</v>
      </c>
      <c r="L44">
        <v>1327</v>
      </c>
      <c r="N44">
        <v>1005</v>
      </c>
      <c r="O44" t="s">
        <v>48</v>
      </c>
      <c r="P44" t="s">
        <v>48</v>
      </c>
      <c r="Q44">
        <v>1</v>
      </c>
      <c r="W44">
        <v>0</v>
      </c>
      <c r="X44">
        <v>440019653</v>
      </c>
      <c r="Y44">
        <v>3</v>
      </c>
      <c r="AA44">
        <v>10.61</v>
      </c>
      <c r="AB44">
        <v>0</v>
      </c>
      <c r="AC44">
        <v>0</v>
      </c>
      <c r="AD44">
        <v>0</v>
      </c>
      <c r="AE44">
        <v>3.62</v>
      </c>
      <c r="AF44">
        <v>0</v>
      </c>
      <c r="AG44">
        <v>0</v>
      </c>
      <c r="AH44">
        <v>0</v>
      </c>
      <c r="AI44">
        <v>2.93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6</v>
      </c>
      <c r="AT44">
        <v>3</v>
      </c>
      <c r="AU44" t="s">
        <v>6</v>
      </c>
      <c r="AV44">
        <v>0</v>
      </c>
      <c r="AW44">
        <v>2</v>
      </c>
      <c r="AX44">
        <v>28315991</v>
      </c>
      <c r="AY44">
        <v>1</v>
      </c>
      <c r="AZ44">
        <v>0</v>
      </c>
      <c r="BA44">
        <v>45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Y44*Source!I39</f>
        <v>369</v>
      </c>
      <c r="CY44">
        <f t="shared" si="0"/>
        <v>10.61</v>
      </c>
      <c r="CZ44">
        <f t="shared" si="1"/>
        <v>3.62</v>
      </c>
      <c r="DA44">
        <f t="shared" si="2"/>
        <v>2.93</v>
      </c>
      <c r="DB44">
        <v>0</v>
      </c>
    </row>
    <row r="45" spans="1:106">
      <c r="A45">
        <f>ROW(Source!A39)</f>
        <v>39</v>
      </c>
      <c r="B45">
        <v>28315699</v>
      </c>
      <c r="C45">
        <v>28315973</v>
      </c>
      <c r="D45">
        <v>25628887</v>
      </c>
      <c r="E45">
        <v>1</v>
      </c>
      <c r="F45">
        <v>1</v>
      </c>
      <c r="G45">
        <v>1</v>
      </c>
      <c r="H45">
        <v>3</v>
      </c>
      <c r="I45" t="s">
        <v>367</v>
      </c>
      <c r="J45" t="s">
        <v>368</v>
      </c>
      <c r="K45" t="s">
        <v>369</v>
      </c>
      <c r="L45">
        <v>1346</v>
      </c>
      <c r="N45">
        <v>1009</v>
      </c>
      <c r="O45" t="s">
        <v>107</v>
      </c>
      <c r="P45" t="s">
        <v>107</v>
      </c>
      <c r="Q45">
        <v>1</v>
      </c>
      <c r="W45">
        <v>0</v>
      </c>
      <c r="X45">
        <v>-773021859</v>
      </c>
      <c r="Y45">
        <v>4.0000000000000002E-4</v>
      </c>
      <c r="AA45">
        <v>40.770000000000003</v>
      </c>
      <c r="AB45">
        <v>0</v>
      </c>
      <c r="AC45">
        <v>0</v>
      </c>
      <c r="AD45">
        <v>0</v>
      </c>
      <c r="AE45">
        <v>8.94</v>
      </c>
      <c r="AF45">
        <v>0</v>
      </c>
      <c r="AG45">
        <v>0</v>
      </c>
      <c r="AH45">
        <v>0</v>
      </c>
      <c r="AI45">
        <v>4.5599999999999996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6</v>
      </c>
      <c r="AT45">
        <v>4.0000000000000002E-4</v>
      </c>
      <c r="AU45" t="s">
        <v>6</v>
      </c>
      <c r="AV45">
        <v>0</v>
      </c>
      <c r="AW45">
        <v>2</v>
      </c>
      <c r="AX45">
        <v>28315992</v>
      </c>
      <c r="AY45">
        <v>1</v>
      </c>
      <c r="AZ45">
        <v>0</v>
      </c>
      <c r="BA45">
        <v>46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Y45*Source!I39</f>
        <v>4.9200000000000001E-2</v>
      </c>
      <c r="CY45">
        <f t="shared" si="0"/>
        <v>40.770000000000003</v>
      </c>
      <c r="CZ45">
        <f t="shared" si="1"/>
        <v>8.94</v>
      </c>
      <c r="DA45">
        <f t="shared" si="2"/>
        <v>4.5599999999999996</v>
      </c>
      <c r="DB45">
        <v>0</v>
      </c>
    </row>
    <row r="46" spans="1:106">
      <c r="A46">
        <f>ROW(Source!A39)</f>
        <v>39</v>
      </c>
      <c r="B46">
        <v>28315699</v>
      </c>
      <c r="C46">
        <v>28315973</v>
      </c>
      <c r="D46">
        <v>25636642</v>
      </c>
      <c r="E46">
        <v>1</v>
      </c>
      <c r="F46">
        <v>1</v>
      </c>
      <c r="G46">
        <v>1</v>
      </c>
      <c r="H46">
        <v>3</v>
      </c>
      <c r="I46" t="s">
        <v>105</v>
      </c>
      <c r="J46" t="s">
        <v>108</v>
      </c>
      <c r="K46" t="s">
        <v>106</v>
      </c>
      <c r="L46">
        <v>1346</v>
      </c>
      <c r="N46">
        <v>1009</v>
      </c>
      <c r="O46" t="s">
        <v>107</v>
      </c>
      <c r="P46" t="s">
        <v>107</v>
      </c>
      <c r="Q46">
        <v>1</v>
      </c>
      <c r="W46">
        <v>1</v>
      </c>
      <c r="X46">
        <v>-1751083780</v>
      </c>
      <c r="Y46">
        <v>-42.84</v>
      </c>
      <c r="AA46">
        <v>151.06</v>
      </c>
      <c r="AB46">
        <v>0</v>
      </c>
      <c r="AC46">
        <v>0</v>
      </c>
      <c r="AD46">
        <v>0</v>
      </c>
      <c r="AE46">
        <v>58.1</v>
      </c>
      <c r="AF46">
        <v>0</v>
      </c>
      <c r="AG46">
        <v>0</v>
      </c>
      <c r="AH46">
        <v>0</v>
      </c>
      <c r="AI46">
        <v>2.6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6</v>
      </c>
      <c r="AT46">
        <v>-42.84</v>
      </c>
      <c r="AU46" t="s">
        <v>6</v>
      </c>
      <c r="AV46">
        <v>0</v>
      </c>
      <c r="AW46">
        <v>2</v>
      </c>
      <c r="AX46">
        <v>28315993</v>
      </c>
      <c r="AY46">
        <v>1</v>
      </c>
      <c r="AZ46">
        <v>6144</v>
      </c>
      <c r="BA46">
        <v>47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Y46*Source!I39</f>
        <v>-5269.3200000000006</v>
      </c>
      <c r="CY46">
        <f t="shared" si="0"/>
        <v>151.06</v>
      </c>
      <c r="CZ46">
        <f t="shared" si="1"/>
        <v>58.1</v>
      </c>
      <c r="DA46">
        <f t="shared" si="2"/>
        <v>2.6</v>
      </c>
      <c r="DB46">
        <v>0</v>
      </c>
    </row>
    <row r="47" spans="1:106">
      <c r="A47">
        <f>ROW(Source!A39)</f>
        <v>39</v>
      </c>
      <c r="B47">
        <v>28315699</v>
      </c>
      <c r="C47">
        <v>28315973</v>
      </c>
      <c r="D47">
        <v>25636644</v>
      </c>
      <c r="E47">
        <v>1</v>
      </c>
      <c r="F47">
        <v>1</v>
      </c>
      <c r="G47">
        <v>1</v>
      </c>
      <c r="H47">
        <v>3</v>
      </c>
      <c r="I47" t="s">
        <v>110</v>
      </c>
      <c r="J47" t="s">
        <v>112</v>
      </c>
      <c r="K47" t="s">
        <v>111</v>
      </c>
      <c r="L47">
        <v>1346</v>
      </c>
      <c r="N47">
        <v>1009</v>
      </c>
      <c r="O47" t="s">
        <v>107</v>
      </c>
      <c r="P47" t="s">
        <v>107</v>
      </c>
      <c r="Q47">
        <v>1</v>
      </c>
      <c r="W47">
        <v>1</v>
      </c>
      <c r="X47">
        <v>-286688287</v>
      </c>
      <c r="Y47">
        <v>-41.16</v>
      </c>
      <c r="AA47">
        <v>132.61000000000001</v>
      </c>
      <c r="AB47">
        <v>0</v>
      </c>
      <c r="AC47">
        <v>0</v>
      </c>
      <c r="AD47">
        <v>0</v>
      </c>
      <c r="AE47">
        <v>51.8</v>
      </c>
      <c r="AF47">
        <v>0</v>
      </c>
      <c r="AG47">
        <v>0</v>
      </c>
      <c r="AH47">
        <v>0</v>
      </c>
      <c r="AI47">
        <v>2.56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-41.16</v>
      </c>
      <c r="AU47" t="s">
        <v>6</v>
      </c>
      <c r="AV47">
        <v>0</v>
      </c>
      <c r="AW47">
        <v>2</v>
      </c>
      <c r="AX47">
        <v>28315994</v>
      </c>
      <c r="AY47">
        <v>1</v>
      </c>
      <c r="AZ47">
        <v>6144</v>
      </c>
      <c r="BA47">
        <v>48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Y47*Source!I39</f>
        <v>-5062.6799999999994</v>
      </c>
      <c r="CY47">
        <f t="shared" si="0"/>
        <v>132.61000000000001</v>
      </c>
      <c r="CZ47">
        <f t="shared" si="1"/>
        <v>51.8</v>
      </c>
      <c r="DA47">
        <f t="shared" si="2"/>
        <v>2.56</v>
      </c>
      <c r="DB47">
        <v>0</v>
      </c>
    </row>
    <row r="48" spans="1:106">
      <c r="A48">
        <f>ROW(Source!A39)</f>
        <v>39</v>
      </c>
      <c r="B48">
        <v>28315699</v>
      </c>
      <c r="C48">
        <v>28315973</v>
      </c>
      <c r="D48">
        <v>25636776</v>
      </c>
      <c r="E48">
        <v>1</v>
      </c>
      <c r="F48">
        <v>1</v>
      </c>
      <c r="G48">
        <v>1</v>
      </c>
      <c r="H48">
        <v>3</v>
      </c>
      <c r="I48" t="s">
        <v>370</v>
      </c>
      <c r="J48" t="s">
        <v>371</v>
      </c>
      <c r="K48" t="s">
        <v>372</v>
      </c>
      <c r="L48">
        <v>1346</v>
      </c>
      <c r="N48">
        <v>1009</v>
      </c>
      <c r="O48" t="s">
        <v>107</v>
      </c>
      <c r="P48" t="s">
        <v>107</v>
      </c>
      <c r="Q48">
        <v>1</v>
      </c>
      <c r="W48">
        <v>0</v>
      </c>
      <c r="X48">
        <v>-1941977809</v>
      </c>
      <c r="Y48">
        <v>5</v>
      </c>
      <c r="AA48">
        <v>130.82</v>
      </c>
      <c r="AB48">
        <v>0</v>
      </c>
      <c r="AC48">
        <v>0</v>
      </c>
      <c r="AD48">
        <v>0</v>
      </c>
      <c r="AE48">
        <v>18.399999999999999</v>
      </c>
      <c r="AF48">
        <v>0</v>
      </c>
      <c r="AG48">
        <v>0</v>
      </c>
      <c r="AH48">
        <v>0</v>
      </c>
      <c r="AI48">
        <v>7.11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5</v>
      </c>
      <c r="AU48" t="s">
        <v>6</v>
      </c>
      <c r="AV48">
        <v>0</v>
      </c>
      <c r="AW48">
        <v>2</v>
      </c>
      <c r="AX48">
        <v>28315995</v>
      </c>
      <c r="AY48">
        <v>1</v>
      </c>
      <c r="AZ48">
        <v>0</v>
      </c>
      <c r="BA48">
        <v>49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Y48*Source!I39</f>
        <v>615</v>
      </c>
      <c r="CY48">
        <f t="shared" si="0"/>
        <v>130.82</v>
      </c>
      <c r="CZ48">
        <f t="shared" si="1"/>
        <v>18.399999999999999</v>
      </c>
      <c r="DA48">
        <f t="shared" si="2"/>
        <v>7.11</v>
      </c>
      <c r="DB48">
        <v>0</v>
      </c>
    </row>
    <row r="49" spans="1:106">
      <c r="A49">
        <f>ROW(Source!A39)</f>
        <v>39</v>
      </c>
      <c r="B49">
        <v>28315699</v>
      </c>
      <c r="C49">
        <v>28315973</v>
      </c>
      <c r="D49">
        <v>25636780</v>
      </c>
      <c r="E49">
        <v>1</v>
      </c>
      <c r="F49">
        <v>1</v>
      </c>
      <c r="G49">
        <v>1</v>
      </c>
      <c r="H49">
        <v>3</v>
      </c>
      <c r="I49" t="s">
        <v>373</v>
      </c>
      <c r="J49" t="s">
        <v>374</v>
      </c>
      <c r="K49" t="s">
        <v>375</v>
      </c>
      <c r="L49">
        <v>1346</v>
      </c>
      <c r="N49">
        <v>1009</v>
      </c>
      <c r="O49" t="s">
        <v>107</v>
      </c>
      <c r="P49" t="s">
        <v>107</v>
      </c>
      <c r="Q49">
        <v>1</v>
      </c>
      <c r="W49">
        <v>0</v>
      </c>
      <c r="X49">
        <v>1425275457</v>
      </c>
      <c r="Y49">
        <v>3</v>
      </c>
      <c r="AA49">
        <v>222.67</v>
      </c>
      <c r="AB49">
        <v>0</v>
      </c>
      <c r="AC49">
        <v>0</v>
      </c>
      <c r="AD49">
        <v>0</v>
      </c>
      <c r="AE49">
        <v>65.3</v>
      </c>
      <c r="AF49">
        <v>0</v>
      </c>
      <c r="AG49">
        <v>0</v>
      </c>
      <c r="AH49">
        <v>0</v>
      </c>
      <c r="AI49">
        <v>3.41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3</v>
      </c>
      <c r="AU49" t="s">
        <v>6</v>
      </c>
      <c r="AV49">
        <v>0</v>
      </c>
      <c r="AW49">
        <v>2</v>
      </c>
      <c r="AX49">
        <v>28315996</v>
      </c>
      <c r="AY49">
        <v>1</v>
      </c>
      <c r="AZ49">
        <v>0</v>
      </c>
      <c r="BA49">
        <v>50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Y49*Source!I39</f>
        <v>369</v>
      </c>
      <c r="CY49">
        <f t="shared" si="0"/>
        <v>222.67</v>
      </c>
      <c r="CZ49">
        <f t="shared" si="1"/>
        <v>65.3</v>
      </c>
      <c r="DA49">
        <f t="shared" si="2"/>
        <v>3.41</v>
      </c>
      <c r="DB49">
        <v>0</v>
      </c>
    </row>
    <row r="50" spans="1:106">
      <c r="A50">
        <f>ROW(Source!A39)</f>
        <v>39</v>
      </c>
      <c r="B50">
        <v>28315699</v>
      </c>
      <c r="C50">
        <v>28315973</v>
      </c>
      <c r="D50">
        <v>0</v>
      </c>
      <c r="E50">
        <v>1</v>
      </c>
      <c r="F50">
        <v>1</v>
      </c>
      <c r="G50">
        <v>1</v>
      </c>
      <c r="H50">
        <v>3</v>
      </c>
      <c r="I50" t="s">
        <v>114</v>
      </c>
      <c r="J50" t="s">
        <v>6</v>
      </c>
      <c r="K50" t="s">
        <v>115</v>
      </c>
      <c r="L50">
        <v>1346</v>
      </c>
      <c r="N50">
        <v>1009</v>
      </c>
      <c r="O50" t="s">
        <v>107</v>
      </c>
      <c r="P50" t="s">
        <v>107</v>
      </c>
      <c r="Q50">
        <v>1</v>
      </c>
      <c r="W50">
        <v>0</v>
      </c>
      <c r="X50">
        <v>1169740750</v>
      </c>
      <c r="Y50">
        <v>53.333333000000003</v>
      </c>
      <c r="AA50">
        <v>255</v>
      </c>
      <c r="AB50">
        <v>0</v>
      </c>
      <c r="AC50">
        <v>0</v>
      </c>
      <c r="AD50">
        <v>0</v>
      </c>
      <c r="AE50">
        <v>255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0</v>
      </c>
      <c r="AP50">
        <v>0</v>
      </c>
      <c r="AQ50">
        <v>0</v>
      </c>
      <c r="AR50">
        <v>0</v>
      </c>
      <c r="AS50" t="s">
        <v>6</v>
      </c>
      <c r="AT50">
        <v>53.333333000000003</v>
      </c>
      <c r="AU50" t="s">
        <v>6</v>
      </c>
      <c r="AV50">
        <v>0</v>
      </c>
      <c r="AW50">
        <v>1</v>
      </c>
      <c r="AX50">
        <v>-1</v>
      </c>
      <c r="AY50">
        <v>0</v>
      </c>
      <c r="AZ50">
        <v>0</v>
      </c>
      <c r="BA50" t="s">
        <v>6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Y50*Source!I39</f>
        <v>6559.9999590000007</v>
      </c>
      <c r="CY50">
        <f t="shared" si="0"/>
        <v>255</v>
      </c>
      <c r="CZ50">
        <f t="shared" si="1"/>
        <v>255</v>
      </c>
      <c r="DA50">
        <f t="shared" si="2"/>
        <v>1</v>
      </c>
      <c r="DB50">
        <v>0</v>
      </c>
    </row>
    <row r="51" spans="1:106">
      <c r="A51">
        <f>ROW(Source!A43)</f>
        <v>43</v>
      </c>
      <c r="B51">
        <v>28315699</v>
      </c>
      <c r="C51">
        <v>28316000</v>
      </c>
      <c r="D51">
        <v>25887051</v>
      </c>
      <c r="E51">
        <v>1</v>
      </c>
      <c r="F51">
        <v>1</v>
      </c>
      <c r="G51">
        <v>1</v>
      </c>
      <c r="H51">
        <v>1</v>
      </c>
      <c r="I51" t="s">
        <v>356</v>
      </c>
      <c r="J51" t="s">
        <v>6</v>
      </c>
      <c r="K51" t="s">
        <v>357</v>
      </c>
      <c r="L51">
        <v>1191</v>
      </c>
      <c r="N51">
        <v>1013</v>
      </c>
      <c r="O51" t="s">
        <v>297</v>
      </c>
      <c r="P51" t="s">
        <v>297</v>
      </c>
      <c r="Q51">
        <v>1</v>
      </c>
      <c r="W51">
        <v>0</v>
      </c>
      <c r="X51">
        <v>912892513</v>
      </c>
      <c r="Y51">
        <v>36.834499999999998</v>
      </c>
      <c r="AA51">
        <v>0</v>
      </c>
      <c r="AB51">
        <v>0</v>
      </c>
      <c r="AC51">
        <v>0</v>
      </c>
      <c r="AD51">
        <v>9.92</v>
      </c>
      <c r="AE51">
        <v>0</v>
      </c>
      <c r="AF51">
        <v>0</v>
      </c>
      <c r="AG51">
        <v>0</v>
      </c>
      <c r="AH51">
        <v>9.92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1</v>
      </c>
      <c r="AQ51">
        <v>0</v>
      </c>
      <c r="AR51">
        <v>0</v>
      </c>
      <c r="AS51" t="s">
        <v>6</v>
      </c>
      <c r="AT51">
        <v>32.03</v>
      </c>
      <c r="AU51" t="s">
        <v>56</v>
      </c>
      <c r="AV51">
        <v>1</v>
      </c>
      <c r="AW51">
        <v>2</v>
      </c>
      <c r="AX51">
        <v>28316013</v>
      </c>
      <c r="AY51">
        <v>1</v>
      </c>
      <c r="AZ51">
        <v>0</v>
      </c>
      <c r="BA51">
        <v>51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Y51*Source!I43</f>
        <v>589.13099299999999</v>
      </c>
      <c r="CY51">
        <f>AD51</f>
        <v>9.92</v>
      </c>
      <c r="CZ51">
        <f>AH51</f>
        <v>9.92</v>
      </c>
      <c r="DA51">
        <f>AL51</f>
        <v>1</v>
      </c>
      <c r="DB51">
        <v>0</v>
      </c>
    </row>
    <row r="52" spans="1:106">
      <c r="A52">
        <f>ROW(Source!A43)</f>
        <v>43</v>
      </c>
      <c r="B52">
        <v>28315699</v>
      </c>
      <c r="C52">
        <v>28316000</v>
      </c>
      <c r="D52">
        <v>25871146</v>
      </c>
      <c r="E52">
        <v>1</v>
      </c>
      <c r="F52">
        <v>1</v>
      </c>
      <c r="G52">
        <v>1</v>
      </c>
      <c r="H52">
        <v>1</v>
      </c>
      <c r="I52" t="s">
        <v>307</v>
      </c>
      <c r="J52" t="s">
        <v>6</v>
      </c>
      <c r="K52" t="s">
        <v>308</v>
      </c>
      <c r="L52">
        <v>1191</v>
      </c>
      <c r="N52">
        <v>1013</v>
      </c>
      <c r="O52" t="s">
        <v>297</v>
      </c>
      <c r="P52" t="s">
        <v>297</v>
      </c>
      <c r="Q52">
        <v>1</v>
      </c>
      <c r="W52">
        <v>0</v>
      </c>
      <c r="X52">
        <v>-1417349443</v>
      </c>
      <c r="Y52">
        <v>0.34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6</v>
      </c>
      <c r="AT52">
        <v>0.34</v>
      </c>
      <c r="AU52" t="s">
        <v>6</v>
      </c>
      <c r="AV52">
        <v>2</v>
      </c>
      <c r="AW52">
        <v>2</v>
      </c>
      <c r="AX52">
        <v>28316014</v>
      </c>
      <c r="AY52">
        <v>1</v>
      </c>
      <c r="AZ52">
        <v>2048</v>
      </c>
      <c r="BA52">
        <v>52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Y52*Source!I43</f>
        <v>5.4379600000000003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>
      <c r="A53">
        <f>ROW(Source!A43)</f>
        <v>43</v>
      </c>
      <c r="B53">
        <v>28315699</v>
      </c>
      <c r="C53">
        <v>28316000</v>
      </c>
      <c r="D53">
        <v>25687000</v>
      </c>
      <c r="E53">
        <v>1</v>
      </c>
      <c r="F53">
        <v>1</v>
      </c>
      <c r="G53">
        <v>1</v>
      </c>
      <c r="H53">
        <v>2</v>
      </c>
      <c r="I53" t="s">
        <v>315</v>
      </c>
      <c r="J53" t="s">
        <v>316</v>
      </c>
      <c r="K53" t="s">
        <v>317</v>
      </c>
      <c r="L53">
        <v>1368</v>
      </c>
      <c r="N53">
        <v>1011</v>
      </c>
      <c r="O53" t="s">
        <v>301</v>
      </c>
      <c r="P53" t="s">
        <v>301</v>
      </c>
      <c r="Q53">
        <v>1</v>
      </c>
      <c r="W53">
        <v>0</v>
      </c>
      <c r="X53">
        <v>1372534845</v>
      </c>
      <c r="Y53">
        <v>0.42500000000000004</v>
      </c>
      <c r="AA53">
        <v>0</v>
      </c>
      <c r="AB53">
        <v>692.58</v>
      </c>
      <c r="AC53">
        <v>300.32</v>
      </c>
      <c r="AD53">
        <v>0</v>
      </c>
      <c r="AE53">
        <v>0</v>
      </c>
      <c r="AF53">
        <v>65.709999999999994</v>
      </c>
      <c r="AG53">
        <v>11.6</v>
      </c>
      <c r="AH53">
        <v>0</v>
      </c>
      <c r="AI53">
        <v>1</v>
      </c>
      <c r="AJ53">
        <v>10.54</v>
      </c>
      <c r="AK53">
        <v>25.89</v>
      </c>
      <c r="AL53">
        <v>1</v>
      </c>
      <c r="AN53">
        <v>0</v>
      </c>
      <c r="AO53">
        <v>1</v>
      </c>
      <c r="AP53">
        <v>1</v>
      </c>
      <c r="AQ53">
        <v>0</v>
      </c>
      <c r="AR53">
        <v>0</v>
      </c>
      <c r="AS53" t="s">
        <v>6</v>
      </c>
      <c r="AT53">
        <v>0.34</v>
      </c>
      <c r="AU53" t="s">
        <v>55</v>
      </c>
      <c r="AV53">
        <v>0</v>
      </c>
      <c r="AW53">
        <v>2</v>
      </c>
      <c r="AX53">
        <v>28316015</v>
      </c>
      <c r="AY53">
        <v>1</v>
      </c>
      <c r="AZ53">
        <v>0</v>
      </c>
      <c r="BA53">
        <v>53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Y53*Source!I43</f>
        <v>6.7974500000000004</v>
      </c>
      <c r="CY53">
        <f>AB53</f>
        <v>692.58</v>
      </c>
      <c r="CZ53">
        <f>AF53</f>
        <v>65.709999999999994</v>
      </c>
      <c r="DA53">
        <f>AJ53</f>
        <v>10.54</v>
      </c>
      <c r="DB53">
        <v>0</v>
      </c>
    </row>
    <row r="54" spans="1:106">
      <c r="A54">
        <f>ROW(Source!A43)</f>
        <v>43</v>
      </c>
      <c r="B54">
        <v>28315699</v>
      </c>
      <c r="C54">
        <v>28316000</v>
      </c>
      <c r="D54">
        <v>25688208</v>
      </c>
      <c r="E54">
        <v>1</v>
      </c>
      <c r="F54">
        <v>1</v>
      </c>
      <c r="G54">
        <v>1</v>
      </c>
      <c r="H54">
        <v>2</v>
      </c>
      <c r="I54" t="s">
        <v>358</v>
      </c>
      <c r="J54" t="s">
        <v>359</v>
      </c>
      <c r="K54" t="s">
        <v>360</v>
      </c>
      <c r="L54">
        <v>1368</v>
      </c>
      <c r="N54">
        <v>1011</v>
      </c>
      <c r="O54" t="s">
        <v>301</v>
      </c>
      <c r="P54" t="s">
        <v>301</v>
      </c>
      <c r="Q54">
        <v>1</v>
      </c>
      <c r="W54">
        <v>0</v>
      </c>
      <c r="X54">
        <v>363848026</v>
      </c>
      <c r="Y54">
        <v>10.024999999999999</v>
      </c>
      <c r="AA54">
        <v>0</v>
      </c>
      <c r="AB54">
        <v>123.21</v>
      </c>
      <c r="AC54">
        <v>0</v>
      </c>
      <c r="AD54">
        <v>0</v>
      </c>
      <c r="AE54">
        <v>0</v>
      </c>
      <c r="AF54">
        <v>35.61</v>
      </c>
      <c r="AG54">
        <v>0</v>
      </c>
      <c r="AH54">
        <v>0</v>
      </c>
      <c r="AI54">
        <v>1</v>
      </c>
      <c r="AJ54">
        <v>3.46</v>
      </c>
      <c r="AK54">
        <v>25.89</v>
      </c>
      <c r="AL54">
        <v>1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6</v>
      </c>
      <c r="AT54">
        <v>8.02</v>
      </c>
      <c r="AU54" t="s">
        <v>55</v>
      </c>
      <c r="AV54">
        <v>0</v>
      </c>
      <c r="AW54">
        <v>2</v>
      </c>
      <c r="AX54">
        <v>28316016</v>
      </c>
      <c r="AY54">
        <v>1</v>
      </c>
      <c r="AZ54">
        <v>0</v>
      </c>
      <c r="BA54">
        <v>54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Y54*Source!I43</f>
        <v>160.33984999999998</v>
      </c>
      <c r="CY54">
        <f>AB54</f>
        <v>123.21</v>
      </c>
      <c r="CZ54">
        <f>AF54</f>
        <v>35.61</v>
      </c>
      <c r="DA54">
        <f>AJ54</f>
        <v>3.46</v>
      </c>
      <c r="DB54">
        <v>0</v>
      </c>
    </row>
    <row r="55" spans="1:106">
      <c r="A55">
        <f>ROW(Source!A43)</f>
        <v>43</v>
      </c>
      <c r="B55">
        <v>28315699</v>
      </c>
      <c r="C55">
        <v>28316000</v>
      </c>
      <c r="D55">
        <v>25605318</v>
      </c>
      <c r="E55">
        <v>1</v>
      </c>
      <c r="F55">
        <v>1</v>
      </c>
      <c r="G55">
        <v>1</v>
      </c>
      <c r="H55">
        <v>3</v>
      </c>
      <c r="I55" t="s">
        <v>361</v>
      </c>
      <c r="J55" t="s">
        <v>362</v>
      </c>
      <c r="K55" t="s">
        <v>363</v>
      </c>
      <c r="L55">
        <v>1346</v>
      </c>
      <c r="N55">
        <v>1009</v>
      </c>
      <c r="O55" t="s">
        <v>107</v>
      </c>
      <c r="P55" t="s">
        <v>107</v>
      </c>
      <c r="Q55">
        <v>1</v>
      </c>
      <c r="W55">
        <v>0</v>
      </c>
      <c r="X55">
        <v>-771343331</v>
      </c>
      <c r="Y55">
        <v>0.52600000000000002</v>
      </c>
      <c r="AA55">
        <v>286.72000000000003</v>
      </c>
      <c r="AB55">
        <v>0</v>
      </c>
      <c r="AC55">
        <v>0</v>
      </c>
      <c r="AD55">
        <v>0</v>
      </c>
      <c r="AE55">
        <v>112</v>
      </c>
      <c r="AF55">
        <v>0</v>
      </c>
      <c r="AG55">
        <v>0</v>
      </c>
      <c r="AH55">
        <v>0</v>
      </c>
      <c r="AI55">
        <v>2.56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6</v>
      </c>
      <c r="AT55">
        <v>0.52600000000000002</v>
      </c>
      <c r="AU55" t="s">
        <v>6</v>
      </c>
      <c r="AV55">
        <v>0</v>
      </c>
      <c r="AW55">
        <v>2</v>
      </c>
      <c r="AX55">
        <v>28316017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Y55*Source!I43</f>
        <v>8.4128439999999998</v>
      </c>
      <c r="CY55">
        <f t="shared" ref="CY55:CY62" si="3">AA55</f>
        <v>286.72000000000003</v>
      </c>
      <c r="CZ55">
        <f t="shared" ref="CZ55:CZ62" si="4">AE55</f>
        <v>112</v>
      </c>
      <c r="DA55">
        <f t="shared" ref="DA55:DA62" si="5">AI55</f>
        <v>2.56</v>
      </c>
      <c r="DB55">
        <v>0</v>
      </c>
    </row>
    <row r="56" spans="1:106">
      <c r="A56">
        <f>ROW(Source!A43)</f>
        <v>43</v>
      </c>
      <c r="B56">
        <v>28315699</v>
      </c>
      <c r="C56">
        <v>28316000</v>
      </c>
      <c r="D56">
        <v>25605550</v>
      </c>
      <c r="E56">
        <v>1</v>
      </c>
      <c r="F56">
        <v>1</v>
      </c>
      <c r="G56">
        <v>1</v>
      </c>
      <c r="H56">
        <v>3</v>
      </c>
      <c r="I56" t="s">
        <v>364</v>
      </c>
      <c r="J56" t="s">
        <v>365</v>
      </c>
      <c r="K56" t="s">
        <v>366</v>
      </c>
      <c r="L56">
        <v>1327</v>
      </c>
      <c r="N56">
        <v>1005</v>
      </c>
      <c r="O56" t="s">
        <v>48</v>
      </c>
      <c r="P56" t="s">
        <v>48</v>
      </c>
      <c r="Q56">
        <v>1</v>
      </c>
      <c r="W56">
        <v>0</v>
      </c>
      <c r="X56">
        <v>440019653</v>
      </c>
      <c r="Y56">
        <v>3</v>
      </c>
      <c r="AA56">
        <v>10.61</v>
      </c>
      <c r="AB56">
        <v>0</v>
      </c>
      <c r="AC56">
        <v>0</v>
      </c>
      <c r="AD56">
        <v>0</v>
      </c>
      <c r="AE56">
        <v>3.62</v>
      </c>
      <c r="AF56">
        <v>0</v>
      </c>
      <c r="AG56">
        <v>0</v>
      </c>
      <c r="AH56">
        <v>0</v>
      </c>
      <c r="AI56">
        <v>2.93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3</v>
      </c>
      <c r="AU56" t="s">
        <v>6</v>
      </c>
      <c r="AV56">
        <v>0</v>
      </c>
      <c r="AW56">
        <v>2</v>
      </c>
      <c r="AX56">
        <v>28316018</v>
      </c>
      <c r="AY56">
        <v>1</v>
      </c>
      <c r="AZ56">
        <v>0</v>
      </c>
      <c r="BA56">
        <v>56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Y56*Source!I43</f>
        <v>47.981999999999999</v>
      </c>
      <c r="CY56">
        <f t="shared" si="3"/>
        <v>10.61</v>
      </c>
      <c r="CZ56">
        <f t="shared" si="4"/>
        <v>3.62</v>
      </c>
      <c r="DA56">
        <f t="shared" si="5"/>
        <v>2.93</v>
      </c>
      <c r="DB56">
        <v>0</v>
      </c>
    </row>
    <row r="57" spans="1:106">
      <c r="A57">
        <f>ROW(Source!A43)</f>
        <v>43</v>
      </c>
      <c r="B57">
        <v>28315699</v>
      </c>
      <c r="C57">
        <v>28316000</v>
      </c>
      <c r="D57">
        <v>25628887</v>
      </c>
      <c r="E57">
        <v>1</v>
      </c>
      <c r="F57">
        <v>1</v>
      </c>
      <c r="G57">
        <v>1</v>
      </c>
      <c r="H57">
        <v>3</v>
      </c>
      <c r="I57" t="s">
        <v>367</v>
      </c>
      <c r="J57" t="s">
        <v>368</v>
      </c>
      <c r="K57" t="s">
        <v>369</v>
      </c>
      <c r="L57">
        <v>1346</v>
      </c>
      <c r="N57">
        <v>1009</v>
      </c>
      <c r="O57" t="s">
        <v>107</v>
      </c>
      <c r="P57" t="s">
        <v>107</v>
      </c>
      <c r="Q57">
        <v>1</v>
      </c>
      <c r="W57">
        <v>0</v>
      </c>
      <c r="X57">
        <v>-773021859</v>
      </c>
      <c r="Y57">
        <v>4.0000000000000002E-4</v>
      </c>
      <c r="AA57">
        <v>40.770000000000003</v>
      </c>
      <c r="AB57">
        <v>0</v>
      </c>
      <c r="AC57">
        <v>0</v>
      </c>
      <c r="AD57">
        <v>0</v>
      </c>
      <c r="AE57">
        <v>8.94</v>
      </c>
      <c r="AF57">
        <v>0</v>
      </c>
      <c r="AG57">
        <v>0</v>
      </c>
      <c r="AH57">
        <v>0</v>
      </c>
      <c r="AI57">
        <v>4.5599999999999996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6</v>
      </c>
      <c r="AT57">
        <v>4.0000000000000002E-4</v>
      </c>
      <c r="AU57" t="s">
        <v>6</v>
      </c>
      <c r="AV57">
        <v>0</v>
      </c>
      <c r="AW57">
        <v>2</v>
      </c>
      <c r="AX57">
        <v>28316019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Y57*Source!I43</f>
        <v>6.3975999999999998E-3</v>
      </c>
      <c r="CY57">
        <f t="shared" si="3"/>
        <v>40.770000000000003</v>
      </c>
      <c r="CZ57">
        <f t="shared" si="4"/>
        <v>8.94</v>
      </c>
      <c r="DA57">
        <f t="shared" si="5"/>
        <v>4.5599999999999996</v>
      </c>
      <c r="DB57">
        <v>0</v>
      </c>
    </row>
    <row r="58" spans="1:106">
      <c r="A58">
        <f>ROW(Source!A43)</f>
        <v>43</v>
      </c>
      <c r="B58">
        <v>28315699</v>
      </c>
      <c r="C58">
        <v>28316000</v>
      </c>
      <c r="D58">
        <v>25636642</v>
      </c>
      <c r="E58">
        <v>1</v>
      </c>
      <c r="F58">
        <v>1</v>
      </c>
      <c r="G58">
        <v>1</v>
      </c>
      <c r="H58">
        <v>3</v>
      </c>
      <c r="I58" t="s">
        <v>105</v>
      </c>
      <c r="J58" t="s">
        <v>108</v>
      </c>
      <c r="K58" t="s">
        <v>106</v>
      </c>
      <c r="L58">
        <v>1346</v>
      </c>
      <c r="N58">
        <v>1009</v>
      </c>
      <c r="O58" t="s">
        <v>107</v>
      </c>
      <c r="P58" t="s">
        <v>107</v>
      </c>
      <c r="Q58">
        <v>1</v>
      </c>
      <c r="W58">
        <v>1</v>
      </c>
      <c r="X58">
        <v>-1751083780</v>
      </c>
      <c r="Y58">
        <v>-42.84</v>
      </c>
      <c r="AA58">
        <v>151.06</v>
      </c>
      <c r="AB58">
        <v>0</v>
      </c>
      <c r="AC58">
        <v>0</v>
      </c>
      <c r="AD58">
        <v>0</v>
      </c>
      <c r="AE58">
        <v>58.1</v>
      </c>
      <c r="AF58">
        <v>0</v>
      </c>
      <c r="AG58">
        <v>0</v>
      </c>
      <c r="AH58">
        <v>0</v>
      </c>
      <c r="AI58">
        <v>2.6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-42.84</v>
      </c>
      <c r="AU58" t="s">
        <v>6</v>
      </c>
      <c r="AV58">
        <v>0</v>
      </c>
      <c r="AW58">
        <v>2</v>
      </c>
      <c r="AX58">
        <v>28316020</v>
      </c>
      <c r="AY58">
        <v>1</v>
      </c>
      <c r="AZ58">
        <v>6144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Y58*Source!I43</f>
        <v>-685.18296000000009</v>
      </c>
      <c r="CY58">
        <f t="shared" si="3"/>
        <v>151.06</v>
      </c>
      <c r="CZ58">
        <f t="shared" si="4"/>
        <v>58.1</v>
      </c>
      <c r="DA58">
        <f t="shared" si="5"/>
        <v>2.6</v>
      </c>
      <c r="DB58">
        <v>0</v>
      </c>
    </row>
    <row r="59" spans="1:106">
      <c r="A59">
        <f>ROW(Source!A43)</f>
        <v>43</v>
      </c>
      <c r="B59">
        <v>28315699</v>
      </c>
      <c r="C59">
        <v>28316000</v>
      </c>
      <c r="D59">
        <v>25636644</v>
      </c>
      <c r="E59">
        <v>1</v>
      </c>
      <c r="F59">
        <v>1</v>
      </c>
      <c r="G59">
        <v>1</v>
      </c>
      <c r="H59">
        <v>3</v>
      </c>
      <c r="I59" t="s">
        <v>110</v>
      </c>
      <c r="J59" t="s">
        <v>112</v>
      </c>
      <c r="K59" t="s">
        <v>111</v>
      </c>
      <c r="L59">
        <v>1346</v>
      </c>
      <c r="N59">
        <v>1009</v>
      </c>
      <c r="O59" t="s">
        <v>107</v>
      </c>
      <c r="P59" t="s">
        <v>107</v>
      </c>
      <c r="Q59">
        <v>1</v>
      </c>
      <c r="W59">
        <v>1</v>
      </c>
      <c r="X59">
        <v>-286688287</v>
      </c>
      <c r="Y59">
        <v>-41.16</v>
      </c>
      <c r="AA59">
        <v>132.61000000000001</v>
      </c>
      <c r="AB59">
        <v>0</v>
      </c>
      <c r="AC59">
        <v>0</v>
      </c>
      <c r="AD59">
        <v>0</v>
      </c>
      <c r="AE59">
        <v>51.8</v>
      </c>
      <c r="AF59">
        <v>0</v>
      </c>
      <c r="AG59">
        <v>0</v>
      </c>
      <c r="AH59">
        <v>0</v>
      </c>
      <c r="AI59">
        <v>2.56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6</v>
      </c>
      <c r="AT59">
        <v>-41.16</v>
      </c>
      <c r="AU59" t="s">
        <v>6</v>
      </c>
      <c r="AV59">
        <v>0</v>
      </c>
      <c r="AW59">
        <v>2</v>
      </c>
      <c r="AX59">
        <v>28316021</v>
      </c>
      <c r="AY59">
        <v>1</v>
      </c>
      <c r="AZ59">
        <v>6144</v>
      </c>
      <c r="BA59">
        <v>59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Y59*Source!I43</f>
        <v>-658.31303999999989</v>
      </c>
      <c r="CY59">
        <f t="shared" si="3"/>
        <v>132.61000000000001</v>
      </c>
      <c r="CZ59">
        <f t="shared" si="4"/>
        <v>51.8</v>
      </c>
      <c r="DA59">
        <f t="shared" si="5"/>
        <v>2.56</v>
      </c>
      <c r="DB59">
        <v>0</v>
      </c>
    </row>
    <row r="60" spans="1:106">
      <c r="A60">
        <f>ROW(Source!A43)</f>
        <v>43</v>
      </c>
      <c r="B60">
        <v>28315699</v>
      </c>
      <c r="C60">
        <v>28316000</v>
      </c>
      <c r="D60">
        <v>25636776</v>
      </c>
      <c r="E60">
        <v>1</v>
      </c>
      <c r="F60">
        <v>1</v>
      </c>
      <c r="G60">
        <v>1</v>
      </c>
      <c r="H60">
        <v>3</v>
      </c>
      <c r="I60" t="s">
        <v>370</v>
      </c>
      <c r="J60" t="s">
        <v>371</v>
      </c>
      <c r="K60" t="s">
        <v>372</v>
      </c>
      <c r="L60">
        <v>1346</v>
      </c>
      <c r="N60">
        <v>1009</v>
      </c>
      <c r="O60" t="s">
        <v>107</v>
      </c>
      <c r="P60" t="s">
        <v>107</v>
      </c>
      <c r="Q60">
        <v>1</v>
      </c>
      <c r="W60">
        <v>0</v>
      </c>
      <c r="X60">
        <v>-1941977809</v>
      </c>
      <c r="Y60">
        <v>5</v>
      </c>
      <c r="AA60">
        <v>130.82</v>
      </c>
      <c r="AB60">
        <v>0</v>
      </c>
      <c r="AC60">
        <v>0</v>
      </c>
      <c r="AD60">
        <v>0</v>
      </c>
      <c r="AE60">
        <v>18.399999999999999</v>
      </c>
      <c r="AF60">
        <v>0</v>
      </c>
      <c r="AG60">
        <v>0</v>
      </c>
      <c r="AH60">
        <v>0</v>
      </c>
      <c r="AI60">
        <v>7.11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6</v>
      </c>
      <c r="AT60">
        <v>5</v>
      </c>
      <c r="AU60" t="s">
        <v>6</v>
      </c>
      <c r="AV60">
        <v>0</v>
      </c>
      <c r="AW60">
        <v>2</v>
      </c>
      <c r="AX60">
        <v>28316022</v>
      </c>
      <c r="AY60">
        <v>1</v>
      </c>
      <c r="AZ60">
        <v>0</v>
      </c>
      <c r="BA60">
        <v>60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Y60*Source!I43</f>
        <v>79.97</v>
      </c>
      <c r="CY60">
        <f t="shared" si="3"/>
        <v>130.82</v>
      </c>
      <c r="CZ60">
        <f t="shared" si="4"/>
        <v>18.399999999999999</v>
      </c>
      <c r="DA60">
        <f t="shared" si="5"/>
        <v>7.11</v>
      </c>
      <c r="DB60">
        <v>0</v>
      </c>
    </row>
    <row r="61" spans="1:106">
      <c r="A61">
        <f>ROW(Source!A43)</f>
        <v>43</v>
      </c>
      <c r="B61">
        <v>28315699</v>
      </c>
      <c r="C61">
        <v>28316000</v>
      </c>
      <c r="D61">
        <v>25636780</v>
      </c>
      <c r="E61">
        <v>1</v>
      </c>
      <c r="F61">
        <v>1</v>
      </c>
      <c r="G61">
        <v>1</v>
      </c>
      <c r="H61">
        <v>3</v>
      </c>
      <c r="I61" t="s">
        <v>373</v>
      </c>
      <c r="J61" t="s">
        <v>374</v>
      </c>
      <c r="K61" t="s">
        <v>375</v>
      </c>
      <c r="L61">
        <v>1346</v>
      </c>
      <c r="N61">
        <v>1009</v>
      </c>
      <c r="O61" t="s">
        <v>107</v>
      </c>
      <c r="P61" t="s">
        <v>107</v>
      </c>
      <c r="Q61">
        <v>1</v>
      </c>
      <c r="W61">
        <v>0</v>
      </c>
      <c r="X61">
        <v>1425275457</v>
      </c>
      <c r="Y61">
        <v>3</v>
      </c>
      <c r="AA61">
        <v>222.67</v>
      </c>
      <c r="AB61">
        <v>0</v>
      </c>
      <c r="AC61">
        <v>0</v>
      </c>
      <c r="AD61">
        <v>0</v>
      </c>
      <c r="AE61">
        <v>65.3</v>
      </c>
      <c r="AF61">
        <v>0</v>
      </c>
      <c r="AG61">
        <v>0</v>
      </c>
      <c r="AH61">
        <v>0</v>
      </c>
      <c r="AI61">
        <v>3.41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6</v>
      </c>
      <c r="AT61">
        <v>3</v>
      </c>
      <c r="AU61" t="s">
        <v>6</v>
      </c>
      <c r="AV61">
        <v>0</v>
      </c>
      <c r="AW61">
        <v>2</v>
      </c>
      <c r="AX61">
        <v>28316023</v>
      </c>
      <c r="AY61">
        <v>1</v>
      </c>
      <c r="AZ61">
        <v>0</v>
      </c>
      <c r="BA61">
        <v>61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Y61*Source!I43</f>
        <v>47.981999999999999</v>
      </c>
      <c r="CY61">
        <f t="shared" si="3"/>
        <v>222.67</v>
      </c>
      <c r="CZ61">
        <f t="shared" si="4"/>
        <v>65.3</v>
      </c>
      <c r="DA61">
        <f t="shared" si="5"/>
        <v>3.41</v>
      </c>
      <c r="DB61">
        <v>0</v>
      </c>
    </row>
    <row r="62" spans="1:106">
      <c r="A62">
        <f>ROW(Source!A43)</f>
        <v>43</v>
      </c>
      <c r="B62">
        <v>28315699</v>
      </c>
      <c r="C62">
        <v>28316000</v>
      </c>
      <c r="D62">
        <v>0</v>
      </c>
      <c r="E62">
        <v>1</v>
      </c>
      <c r="F62">
        <v>1</v>
      </c>
      <c r="G62">
        <v>1</v>
      </c>
      <c r="H62">
        <v>3</v>
      </c>
      <c r="I62" t="s">
        <v>114</v>
      </c>
      <c r="J62" t="s">
        <v>6</v>
      </c>
      <c r="K62" t="s">
        <v>122</v>
      </c>
      <c r="L62">
        <v>1346</v>
      </c>
      <c r="N62">
        <v>1009</v>
      </c>
      <c r="O62" t="s">
        <v>107</v>
      </c>
      <c r="P62" t="s">
        <v>107</v>
      </c>
      <c r="Q62">
        <v>1</v>
      </c>
      <c r="W62">
        <v>0</v>
      </c>
      <c r="X62">
        <v>-764926923</v>
      </c>
      <c r="Y62">
        <v>1100</v>
      </c>
      <c r="AA62">
        <v>453.82</v>
      </c>
      <c r="AB62">
        <v>0</v>
      </c>
      <c r="AC62">
        <v>0</v>
      </c>
      <c r="AD62">
        <v>0</v>
      </c>
      <c r="AE62">
        <v>453.82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1100</v>
      </c>
      <c r="AU62" t="s">
        <v>6</v>
      </c>
      <c r="AV62">
        <v>0</v>
      </c>
      <c r="AW62">
        <v>1</v>
      </c>
      <c r="AX62">
        <v>-1</v>
      </c>
      <c r="AY62">
        <v>0</v>
      </c>
      <c r="AZ62">
        <v>0</v>
      </c>
      <c r="BA62" t="s">
        <v>6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Y62*Source!I43</f>
        <v>17593.400000000001</v>
      </c>
      <c r="CY62">
        <f t="shared" si="3"/>
        <v>453.82</v>
      </c>
      <c r="CZ62">
        <f t="shared" si="4"/>
        <v>453.82</v>
      </c>
      <c r="DA62">
        <f t="shared" si="5"/>
        <v>1</v>
      </c>
      <c r="DB62">
        <v>0</v>
      </c>
    </row>
    <row r="63" spans="1:106">
      <c r="A63">
        <f>ROW(Source!A47)</f>
        <v>47</v>
      </c>
      <c r="B63">
        <v>28315699</v>
      </c>
      <c r="C63">
        <v>28316027</v>
      </c>
      <c r="D63">
        <v>25887051</v>
      </c>
      <c r="E63">
        <v>1</v>
      </c>
      <c r="F63">
        <v>1</v>
      </c>
      <c r="G63">
        <v>1</v>
      </c>
      <c r="H63">
        <v>1</v>
      </c>
      <c r="I63" t="s">
        <v>356</v>
      </c>
      <c r="J63" t="s">
        <v>6</v>
      </c>
      <c r="K63" t="s">
        <v>357</v>
      </c>
      <c r="L63">
        <v>1191</v>
      </c>
      <c r="N63">
        <v>1013</v>
      </c>
      <c r="O63" t="s">
        <v>297</v>
      </c>
      <c r="P63" t="s">
        <v>297</v>
      </c>
      <c r="Q63">
        <v>1</v>
      </c>
      <c r="W63">
        <v>0</v>
      </c>
      <c r="X63">
        <v>912892513</v>
      </c>
      <c r="Y63">
        <v>36.834499999999998</v>
      </c>
      <c r="AA63">
        <v>0</v>
      </c>
      <c r="AB63">
        <v>0</v>
      </c>
      <c r="AC63">
        <v>0</v>
      </c>
      <c r="AD63">
        <v>9.92</v>
      </c>
      <c r="AE63">
        <v>0</v>
      </c>
      <c r="AF63">
        <v>0</v>
      </c>
      <c r="AG63">
        <v>0</v>
      </c>
      <c r="AH63">
        <v>9.92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1</v>
      </c>
      <c r="AQ63">
        <v>0</v>
      </c>
      <c r="AR63">
        <v>0</v>
      </c>
      <c r="AS63" t="s">
        <v>6</v>
      </c>
      <c r="AT63">
        <v>32.03</v>
      </c>
      <c r="AU63" t="s">
        <v>56</v>
      </c>
      <c r="AV63">
        <v>1</v>
      </c>
      <c r="AW63">
        <v>2</v>
      </c>
      <c r="AX63">
        <v>28316040</v>
      </c>
      <c r="AY63">
        <v>1</v>
      </c>
      <c r="AZ63">
        <v>0</v>
      </c>
      <c r="BA63">
        <v>62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Y63*Source!I47</f>
        <v>88.034454999999994</v>
      </c>
      <c r="CY63">
        <f>AD63</f>
        <v>9.92</v>
      </c>
      <c r="CZ63">
        <f>AH63</f>
        <v>9.92</v>
      </c>
      <c r="DA63">
        <f>AL63</f>
        <v>1</v>
      </c>
      <c r="DB63">
        <v>0</v>
      </c>
    </row>
    <row r="64" spans="1:106">
      <c r="A64">
        <f>ROW(Source!A47)</f>
        <v>47</v>
      </c>
      <c r="B64">
        <v>28315699</v>
      </c>
      <c r="C64">
        <v>28316027</v>
      </c>
      <c r="D64">
        <v>25871146</v>
      </c>
      <c r="E64">
        <v>1</v>
      </c>
      <c r="F64">
        <v>1</v>
      </c>
      <c r="G64">
        <v>1</v>
      </c>
      <c r="H64">
        <v>1</v>
      </c>
      <c r="I64" t="s">
        <v>307</v>
      </c>
      <c r="J64" t="s">
        <v>6</v>
      </c>
      <c r="K64" t="s">
        <v>308</v>
      </c>
      <c r="L64">
        <v>1191</v>
      </c>
      <c r="N64">
        <v>1013</v>
      </c>
      <c r="O64" t="s">
        <v>297</v>
      </c>
      <c r="P64" t="s">
        <v>297</v>
      </c>
      <c r="Q64">
        <v>1</v>
      </c>
      <c r="W64">
        <v>0</v>
      </c>
      <c r="X64">
        <v>-1417349443</v>
      </c>
      <c r="Y64">
        <v>0.34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6</v>
      </c>
      <c r="AT64">
        <v>0.34</v>
      </c>
      <c r="AU64" t="s">
        <v>6</v>
      </c>
      <c r="AV64">
        <v>2</v>
      </c>
      <c r="AW64">
        <v>2</v>
      </c>
      <c r="AX64">
        <v>28316041</v>
      </c>
      <c r="AY64">
        <v>1</v>
      </c>
      <c r="AZ64">
        <v>2048</v>
      </c>
      <c r="BA64">
        <v>63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Y64*Source!I47</f>
        <v>0.8126000000000001</v>
      </c>
      <c r="CY64">
        <f>AD64</f>
        <v>0</v>
      </c>
      <c r="CZ64">
        <f>AH64</f>
        <v>0</v>
      </c>
      <c r="DA64">
        <f>AL64</f>
        <v>1</v>
      </c>
      <c r="DB64">
        <v>0</v>
      </c>
    </row>
    <row r="65" spans="1:106">
      <c r="A65">
        <f>ROW(Source!A47)</f>
        <v>47</v>
      </c>
      <c r="B65">
        <v>28315699</v>
      </c>
      <c r="C65">
        <v>28316027</v>
      </c>
      <c r="D65">
        <v>25687000</v>
      </c>
      <c r="E65">
        <v>1</v>
      </c>
      <c r="F65">
        <v>1</v>
      </c>
      <c r="G65">
        <v>1</v>
      </c>
      <c r="H65">
        <v>2</v>
      </c>
      <c r="I65" t="s">
        <v>315</v>
      </c>
      <c r="J65" t="s">
        <v>316</v>
      </c>
      <c r="K65" t="s">
        <v>317</v>
      </c>
      <c r="L65">
        <v>1368</v>
      </c>
      <c r="N65">
        <v>1011</v>
      </c>
      <c r="O65" t="s">
        <v>301</v>
      </c>
      <c r="P65" t="s">
        <v>301</v>
      </c>
      <c r="Q65">
        <v>1</v>
      </c>
      <c r="W65">
        <v>0</v>
      </c>
      <c r="X65">
        <v>1372534845</v>
      </c>
      <c r="Y65">
        <v>0.42500000000000004</v>
      </c>
      <c r="AA65">
        <v>0</v>
      </c>
      <c r="AB65">
        <v>692.58</v>
      </c>
      <c r="AC65">
        <v>300.32</v>
      </c>
      <c r="AD65">
        <v>0</v>
      </c>
      <c r="AE65">
        <v>0</v>
      </c>
      <c r="AF65">
        <v>65.709999999999994</v>
      </c>
      <c r="AG65">
        <v>11.6</v>
      </c>
      <c r="AH65">
        <v>0</v>
      </c>
      <c r="AI65">
        <v>1</v>
      </c>
      <c r="AJ65">
        <v>10.54</v>
      </c>
      <c r="AK65">
        <v>25.89</v>
      </c>
      <c r="AL65">
        <v>1</v>
      </c>
      <c r="AN65">
        <v>0</v>
      </c>
      <c r="AO65">
        <v>1</v>
      </c>
      <c r="AP65">
        <v>1</v>
      </c>
      <c r="AQ65">
        <v>0</v>
      </c>
      <c r="AR65">
        <v>0</v>
      </c>
      <c r="AS65" t="s">
        <v>6</v>
      </c>
      <c r="AT65">
        <v>0.34</v>
      </c>
      <c r="AU65" t="s">
        <v>55</v>
      </c>
      <c r="AV65">
        <v>0</v>
      </c>
      <c r="AW65">
        <v>2</v>
      </c>
      <c r="AX65">
        <v>28316042</v>
      </c>
      <c r="AY65">
        <v>1</v>
      </c>
      <c r="AZ65">
        <v>0</v>
      </c>
      <c r="BA65">
        <v>64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Y65*Source!I47</f>
        <v>1.0157500000000002</v>
      </c>
      <c r="CY65">
        <f>AB65</f>
        <v>692.58</v>
      </c>
      <c r="CZ65">
        <f>AF65</f>
        <v>65.709999999999994</v>
      </c>
      <c r="DA65">
        <f>AJ65</f>
        <v>10.54</v>
      </c>
      <c r="DB65">
        <v>0</v>
      </c>
    </row>
    <row r="66" spans="1:106">
      <c r="A66">
        <f>ROW(Source!A47)</f>
        <v>47</v>
      </c>
      <c r="B66">
        <v>28315699</v>
      </c>
      <c r="C66">
        <v>28316027</v>
      </c>
      <c r="D66">
        <v>25688208</v>
      </c>
      <c r="E66">
        <v>1</v>
      </c>
      <c r="F66">
        <v>1</v>
      </c>
      <c r="G66">
        <v>1</v>
      </c>
      <c r="H66">
        <v>2</v>
      </c>
      <c r="I66" t="s">
        <v>358</v>
      </c>
      <c r="J66" t="s">
        <v>359</v>
      </c>
      <c r="K66" t="s">
        <v>360</v>
      </c>
      <c r="L66">
        <v>1368</v>
      </c>
      <c r="N66">
        <v>1011</v>
      </c>
      <c r="O66" t="s">
        <v>301</v>
      </c>
      <c r="P66" t="s">
        <v>301</v>
      </c>
      <c r="Q66">
        <v>1</v>
      </c>
      <c r="W66">
        <v>0</v>
      </c>
      <c r="X66">
        <v>363848026</v>
      </c>
      <c r="Y66">
        <v>10.024999999999999</v>
      </c>
      <c r="AA66">
        <v>0</v>
      </c>
      <c r="AB66">
        <v>123.21</v>
      </c>
      <c r="AC66">
        <v>0</v>
      </c>
      <c r="AD66">
        <v>0</v>
      </c>
      <c r="AE66">
        <v>0</v>
      </c>
      <c r="AF66">
        <v>35.61</v>
      </c>
      <c r="AG66">
        <v>0</v>
      </c>
      <c r="AH66">
        <v>0</v>
      </c>
      <c r="AI66">
        <v>1</v>
      </c>
      <c r="AJ66">
        <v>3.46</v>
      </c>
      <c r="AK66">
        <v>25.89</v>
      </c>
      <c r="AL66">
        <v>1</v>
      </c>
      <c r="AN66">
        <v>0</v>
      </c>
      <c r="AO66">
        <v>1</v>
      </c>
      <c r="AP66">
        <v>1</v>
      </c>
      <c r="AQ66">
        <v>0</v>
      </c>
      <c r="AR66">
        <v>0</v>
      </c>
      <c r="AS66" t="s">
        <v>6</v>
      </c>
      <c r="AT66">
        <v>8.02</v>
      </c>
      <c r="AU66" t="s">
        <v>55</v>
      </c>
      <c r="AV66">
        <v>0</v>
      </c>
      <c r="AW66">
        <v>2</v>
      </c>
      <c r="AX66">
        <v>28316043</v>
      </c>
      <c r="AY66">
        <v>1</v>
      </c>
      <c r="AZ66">
        <v>0</v>
      </c>
      <c r="BA66">
        <v>65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Y66*Source!I47</f>
        <v>23.959749999999996</v>
      </c>
      <c r="CY66">
        <f>AB66</f>
        <v>123.21</v>
      </c>
      <c r="CZ66">
        <f>AF66</f>
        <v>35.61</v>
      </c>
      <c r="DA66">
        <f>AJ66</f>
        <v>3.46</v>
      </c>
      <c r="DB66">
        <v>0</v>
      </c>
    </row>
    <row r="67" spans="1:106">
      <c r="A67">
        <f>ROW(Source!A47)</f>
        <v>47</v>
      </c>
      <c r="B67">
        <v>28315699</v>
      </c>
      <c r="C67">
        <v>28316027</v>
      </c>
      <c r="D67">
        <v>25605318</v>
      </c>
      <c r="E67">
        <v>1</v>
      </c>
      <c r="F67">
        <v>1</v>
      </c>
      <c r="G67">
        <v>1</v>
      </c>
      <c r="H67">
        <v>3</v>
      </c>
      <c r="I67" t="s">
        <v>361</v>
      </c>
      <c r="J67" t="s">
        <v>362</v>
      </c>
      <c r="K67" t="s">
        <v>363</v>
      </c>
      <c r="L67">
        <v>1346</v>
      </c>
      <c r="N67">
        <v>1009</v>
      </c>
      <c r="O67" t="s">
        <v>107</v>
      </c>
      <c r="P67" t="s">
        <v>107</v>
      </c>
      <c r="Q67">
        <v>1</v>
      </c>
      <c r="W67">
        <v>0</v>
      </c>
      <c r="X67">
        <v>-771343331</v>
      </c>
      <c r="Y67">
        <v>0.52600000000000002</v>
      </c>
      <c r="AA67">
        <v>286.72000000000003</v>
      </c>
      <c r="AB67">
        <v>0</v>
      </c>
      <c r="AC67">
        <v>0</v>
      </c>
      <c r="AD67">
        <v>0</v>
      </c>
      <c r="AE67">
        <v>112</v>
      </c>
      <c r="AF67">
        <v>0</v>
      </c>
      <c r="AG67">
        <v>0</v>
      </c>
      <c r="AH67">
        <v>0</v>
      </c>
      <c r="AI67">
        <v>2.56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6</v>
      </c>
      <c r="AT67">
        <v>0.52600000000000002</v>
      </c>
      <c r="AU67" t="s">
        <v>6</v>
      </c>
      <c r="AV67">
        <v>0</v>
      </c>
      <c r="AW67">
        <v>2</v>
      </c>
      <c r="AX67">
        <v>28316044</v>
      </c>
      <c r="AY67">
        <v>1</v>
      </c>
      <c r="AZ67">
        <v>0</v>
      </c>
      <c r="BA67">
        <v>66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Y67*Source!I47</f>
        <v>1.2571400000000001</v>
      </c>
      <c r="CY67">
        <f t="shared" ref="CY67:CY74" si="6">AA67</f>
        <v>286.72000000000003</v>
      </c>
      <c r="CZ67">
        <f t="shared" ref="CZ67:CZ74" si="7">AE67</f>
        <v>112</v>
      </c>
      <c r="DA67">
        <f t="shared" ref="DA67:DA74" si="8">AI67</f>
        <v>2.56</v>
      </c>
      <c r="DB67">
        <v>0</v>
      </c>
    </row>
    <row r="68" spans="1:106">
      <c r="A68">
        <f>ROW(Source!A47)</f>
        <v>47</v>
      </c>
      <c r="B68">
        <v>28315699</v>
      </c>
      <c r="C68">
        <v>28316027</v>
      </c>
      <c r="D68">
        <v>25605550</v>
      </c>
      <c r="E68">
        <v>1</v>
      </c>
      <c r="F68">
        <v>1</v>
      </c>
      <c r="G68">
        <v>1</v>
      </c>
      <c r="H68">
        <v>3</v>
      </c>
      <c r="I68" t="s">
        <v>364</v>
      </c>
      <c r="J68" t="s">
        <v>365</v>
      </c>
      <c r="K68" t="s">
        <v>366</v>
      </c>
      <c r="L68">
        <v>1327</v>
      </c>
      <c r="N68">
        <v>1005</v>
      </c>
      <c r="O68" t="s">
        <v>48</v>
      </c>
      <c r="P68" t="s">
        <v>48</v>
      </c>
      <c r="Q68">
        <v>1</v>
      </c>
      <c r="W68">
        <v>0</v>
      </c>
      <c r="X68">
        <v>440019653</v>
      </c>
      <c r="Y68">
        <v>3</v>
      </c>
      <c r="AA68">
        <v>10.61</v>
      </c>
      <c r="AB68">
        <v>0</v>
      </c>
      <c r="AC68">
        <v>0</v>
      </c>
      <c r="AD68">
        <v>0</v>
      </c>
      <c r="AE68">
        <v>3.62</v>
      </c>
      <c r="AF68">
        <v>0</v>
      </c>
      <c r="AG68">
        <v>0</v>
      </c>
      <c r="AH68">
        <v>0</v>
      </c>
      <c r="AI68">
        <v>2.93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6</v>
      </c>
      <c r="AT68">
        <v>3</v>
      </c>
      <c r="AU68" t="s">
        <v>6</v>
      </c>
      <c r="AV68">
        <v>0</v>
      </c>
      <c r="AW68">
        <v>2</v>
      </c>
      <c r="AX68">
        <v>28316045</v>
      </c>
      <c r="AY68">
        <v>1</v>
      </c>
      <c r="AZ68">
        <v>0</v>
      </c>
      <c r="BA68">
        <v>67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Y68*Source!I47</f>
        <v>7.17</v>
      </c>
      <c r="CY68">
        <f t="shared" si="6"/>
        <v>10.61</v>
      </c>
      <c r="CZ68">
        <f t="shared" si="7"/>
        <v>3.62</v>
      </c>
      <c r="DA68">
        <f t="shared" si="8"/>
        <v>2.93</v>
      </c>
      <c r="DB68">
        <v>0</v>
      </c>
    </row>
    <row r="69" spans="1:106">
      <c r="A69">
        <f>ROW(Source!A47)</f>
        <v>47</v>
      </c>
      <c r="B69">
        <v>28315699</v>
      </c>
      <c r="C69">
        <v>28316027</v>
      </c>
      <c r="D69">
        <v>25628887</v>
      </c>
      <c r="E69">
        <v>1</v>
      </c>
      <c r="F69">
        <v>1</v>
      </c>
      <c r="G69">
        <v>1</v>
      </c>
      <c r="H69">
        <v>3</v>
      </c>
      <c r="I69" t="s">
        <v>367</v>
      </c>
      <c r="J69" t="s">
        <v>368</v>
      </c>
      <c r="K69" t="s">
        <v>369</v>
      </c>
      <c r="L69">
        <v>1346</v>
      </c>
      <c r="N69">
        <v>1009</v>
      </c>
      <c r="O69" t="s">
        <v>107</v>
      </c>
      <c r="P69" t="s">
        <v>107</v>
      </c>
      <c r="Q69">
        <v>1</v>
      </c>
      <c r="W69">
        <v>0</v>
      </c>
      <c r="X69">
        <v>-773021859</v>
      </c>
      <c r="Y69">
        <v>4.0000000000000002E-4</v>
      </c>
      <c r="AA69">
        <v>40.770000000000003</v>
      </c>
      <c r="AB69">
        <v>0</v>
      </c>
      <c r="AC69">
        <v>0</v>
      </c>
      <c r="AD69">
        <v>0</v>
      </c>
      <c r="AE69">
        <v>8.94</v>
      </c>
      <c r="AF69">
        <v>0</v>
      </c>
      <c r="AG69">
        <v>0</v>
      </c>
      <c r="AH69">
        <v>0</v>
      </c>
      <c r="AI69">
        <v>4.5599999999999996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6</v>
      </c>
      <c r="AT69">
        <v>4.0000000000000002E-4</v>
      </c>
      <c r="AU69" t="s">
        <v>6</v>
      </c>
      <c r="AV69">
        <v>0</v>
      </c>
      <c r="AW69">
        <v>2</v>
      </c>
      <c r="AX69">
        <v>28316046</v>
      </c>
      <c r="AY69">
        <v>1</v>
      </c>
      <c r="AZ69">
        <v>0</v>
      </c>
      <c r="BA69">
        <v>68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Y69*Source!I47</f>
        <v>9.5600000000000014E-4</v>
      </c>
      <c r="CY69">
        <f t="shared" si="6"/>
        <v>40.770000000000003</v>
      </c>
      <c r="CZ69">
        <f t="shared" si="7"/>
        <v>8.94</v>
      </c>
      <c r="DA69">
        <f t="shared" si="8"/>
        <v>4.5599999999999996</v>
      </c>
      <c r="DB69">
        <v>0</v>
      </c>
    </row>
    <row r="70" spans="1:106">
      <c r="A70">
        <f>ROW(Source!A47)</f>
        <v>47</v>
      </c>
      <c r="B70">
        <v>28315699</v>
      </c>
      <c r="C70">
        <v>28316027</v>
      </c>
      <c r="D70">
        <v>25636642</v>
      </c>
      <c r="E70">
        <v>1</v>
      </c>
      <c r="F70">
        <v>1</v>
      </c>
      <c r="G70">
        <v>1</v>
      </c>
      <c r="H70">
        <v>3</v>
      </c>
      <c r="I70" t="s">
        <v>105</v>
      </c>
      <c r="J70" t="s">
        <v>108</v>
      </c>
      <c r="K70" t="s">
        <v>106</v>
      </c>
      <c r="L70">
        <v>1346</v>
      </c>
      <c r="N70">
        <v>1009</v>
      </c>
      <c r="O70" t="s">
        <v>107</v>
      </c>
      <c r="P70" t="s">
        <v>107</v>
      </c>
      <c r="Q70">
        <v>1</v>
      </c>
      <c r="W70">
        <v>1</v>
      </c>
      <c r="X70">
        <v>-1751083780</v>
      </c>
      <c r="Y70">
        <v>-42.84</v>
      </c>
      <c r="AA70">
        <v>151.06</v>
      </c>
      <c r="AB70">
        <v>0</v>
      </c>
      <c r="AC70">
        <v>0</v>
      </c>
      <c r="AD70">
        <v>0</v>
      </c>
      <c r="AE70">
        <v>58.1</v>
      </c>
      <c r="AF70">
        <v>0</v>
      </c>
      <c r="AG70">
        <v>0</v>
      </c>
      <c r="AH70">
        <v>0</v>
      </c>
      <c r="AI70">
        <v>2.6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6</v>
      </c>
      <c r="AT70">
        <v>-42.84</v>
      </c>
      <c r="AU70" t="s">
        <v>6</v>
      </c>
      <c r="AV70">
        <v>0</v>
      </c>
      <c r="AW70">
        <v>2</v>
      </c>
      <c r="AX70">
        <v>28316047</v>
      </c>
      <c r="AY70">
        <v>1</v>
      </c>
      <c r="AZ70">
        <v>6144</v>
      </c>
      <c r="BA70">
        <v>69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Y70*Source!I47</f>
        <v>-102.38760000000002</v>
      </c>
      <c r="CY70">
        <f t="shared" si="6"/>
        <v>151.06</v>
      </c>
      <c r="CZ70">
        <f t="shared" si="7"/>
        <v>58.1</v>
      </c>
      <c r="DA70">
        <f t="shared" si="8"/>
        <v>2.6</v>
      </c>
      <c r="DB70">
        <v>0</v>
      </c>
    </row>
    <row r="71" spans="1:106">
      <c r="A71">
        <f>ROW(Source!A47)</f>
        <v>47</v>
      </c>
      <c r="B71">
        <v>28315699</v>
      </c>
      <c r="C71">
        <v>28316027</v>
      </c>
      <c r="D71">
        <v>25636644</v>
      </c>
      <c r="E71">
        <v>1</v>
      </c>
      <c r="F71">
        <v>1</v>
      </c>
      <c r="G71">
        <v>1</v>
      </c>
      <c r="H71">
        <v>3</v>
      </c>
      <c r="I71" t="s">
        <v>110</v>
      </c>
      <c r="J71" t="s">
        <v>112</v>
      </c>
      <c r="K71" t="s">
        <v>111</v>
      </c>
      <c r="L71">
        <v>1346</v>
      </c>
      <c r="N71">
        <v>1009</v>
      </c>
      <c r="O71" t="s">
        <v>107</v>
      </c>
      <c r="P71" t="s">
        <v>107</v>
      </c>
      <c r="Q71">
        <v>1</v>
      </c>
      <c r="W71">
        <v>1</v>
      </c>
      <c r="X71">
        <v>-286688287</v>
      </c>
      <c r="Y71">
        <v>-41.16</v>
      </c>
      <c r="AA71">
        <v>132.61000000000001</v>
      </c>
      <c r="AB71">
        <v>0</v>
      </c>
      <c r="AC71">
        <v>0</v>
      </c>
      <c r="AD71">
        <v>0</v>
      </c>
      <c r="AE71">
        <v>51.8</v>
      </c>
      <c r="AF71">
        <v>0</v>
      </c>
      <c r="AG71">
        <v>0</v>
      </c>
      <c r="AH71">
        <v>0</v>
      </c>
      <c r="AI71">
        <v>2.56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6</v>
      </c>
      <c r="AT71">
        <v>-41.16</v>
      </c>
      <c r="AU71" t="s">
        <v>6</v>
      </c>
      <c r="AV71">
        <v>0</v>
      </c>
      <c r="AW71">
        <v>2</v>
      </c>
      <c r="AX71">
        <v>28316048</v>
      </c>
      <c r="AY71">
        <v>1</v>
      </c>
      <c r="AZ71">
        <v>6144</v>
      </c>
      <c r="BA71">
        <v>70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Y71*Source!I47</f>
        <v>-98.372399999999999</v>
      </c>
      <c r="CY71">
        <f t="shared" si="6"/>
        <v>132.61000000000001</v>
      </c>
      <c r="CZ71">
        <f t="shared" si="7"/>
        <v>51.8</v>
      </c>
      <c r="DA71">
        <f t="shared" si="8"/>
        <v>2.56</v>
      </c>
      <c r="DB71">
        <v>0</v>
      </c>
    </row>
    <row r="72" spans="1:106">
      <c r="A72">
        <f>ROW(Source!A47)</f>
        <v>47</v>
      </c>
      <c r="B72">
        <v>28315699</v>
      </c>
      <c r="C72">
        <v>28316027</v>
      </c>
      <c r="D72">
        <v>25636776</v>
      </c>
      <c r="E72">
        <v>1</v>
      </c>
      <c r="F72">
        <v>1</v>
      </c>
      <c r="G72">
        <v>1</v>
      </c>
      <c r="H72">
        <v>3</v>
      </c>
      <c r="I72" t="s">
        <v>370</v>
      </c>
      <c r="J72" t="s">
        <v>371</v>
      </c>
      <c r="K72" t="s">
        <v>372</v>
      </c>
      <c r="L72">
        <v>1346</v>
      </c>
      <c r="N72">
        <v>1009</v>
      </c>
      <c r="O72" t="s">
        <v>107</v>
      </c>
      <c r="P72" t="s">
        <v>107</v>
      </c>
      <c r="Q72">
        <v>1</v>
      </c>
      <c r="W72">
        <v>0</v>
      </c>
      <c r="X72">
        <v>-1941977809</v>
      </c>
      <c r="Y72">
        <v>5</v>
      </c>
      <c r="AA72">
        <v>130.82</v>
      </c>
      <c r="AB72">
        <v>0</v>
      </c>
      <c r="AC72">
        <v>0</v>
      </c>
      <c r="AD72">
        <v>0</v>
      </c>
      <c r="AE72">
        <v>18.399999999999999</v>
      </c>
      <c r="AF72">
        <v>0</v>
      </c>
      <c r="AG72">
        <v>0</v>
      </c>
      <c r="AH72">
        <v>0</v>
      </c>
      <c r="AI72">
        <v>7.11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6</v>
      </c>
      <c r="AT72">
        <v>5</v>
      </c>
      <c r="AU72" t="s">
        <v>6</v>
      </c>
      <c r="AV72">
        <v>0</v>
      </c>
      <c r="AW72">
        <v>2</v>
      </c>
      <c r="AX72">
        <v>28316049</v>
      </c>
      <c r="AY72">
        <v>1</v>
      </c>
      <c r="AZ72">
        <v>0</v>
      </c>
      <c r="BA72">
        <v>71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Y72*Source!I47</f>
        <v>11.950000000000001</v>
      </c>
      <c r="CY72">
        <f t="shared" si="6"/>
        <v>130.82</v>
      </c>
      <c r="CZ72">
        <f t="shared" si="7"/>
        <v>18.399999999999999</v>
      </c>
      <c r="DA72">
        <f t="shared" si="8"/>
        <v>7.11</v>
      </c>
      <c r="DB72">
        <v>0</v>
      </c>
    </row>
    <row r="73" spans="1:106">
      <c r="A73">
        <f>ROW(Source!A47)</f>
        <v>47</v>
      </c>
      <c r="B73">
        <v>28315699</v>
      </c>
      <c r="C73">
        <v>28316027</v>
      </c>
      <c r="D73">
        <v>25636780</v>
      </c>
      <c r="E73">
        <v>1</v>
      </c>
      <c r="F73">
        <v>1</v>
      </c>
      <c r="G73">
        <v>1</v>
      </c>
      <c r="H73">
        <v>3</v>
      </c>
      <c r="I73" t="s">
        <v>373</v>
      </c>
      <c r="J73" t="s">
        <v>374</v>
      </c>
      <c r="K73" t="s">
        <v>375</v>
      </c>
      <c r="L73">
        <v>1346</v>
      </c>
      <c r="N73">
        <v>1009</v>
      </c>
      <c r="O73" t="s">
        <v>107</v>
      </c>
      <c r="P73" t="s">
        <v>107</v>
      </c>
      <c r="Q73">
        <v>1</v>
      </c>
      <c r="W73">
        <v>0</v>
      </c>
      <c r="X73">
        <v>1425275457</v>
      </c>
      <c r="Y73">
        <v>3</v>
      </c>
      <c r="AA73">
        <v>222.67</v>
      </c>
      <c r="AB73">
        <v>0</v>
      </c>
      <c r="AC73">
        <v>0</v>
      </c>
      <c r="AD73">
        <v>0</v>
      </c>
      <c r="AE73">
        <v>65.3</v>
      </c>
      <c r="AF73">
        <v>0</v>
      </c>
      <c r="AG73">
        <v>0</v>
      </c>
      <c r="AH73">
        <v>0</v>
      </c>
      <c r="AI73">
        <v>3.41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6</v>
      </c>
      <c r="AT73">
        <v>3</v>
      </c>
      <c r="AU73" t="s">
        <v>6</v>
      </c>
      <c r="AV73">
        <v>0</v>
      </c>
      <c r="AW73">
        <v>2</v>
      </c>
      <c r="AX73">
        <v>28316050</v>
      </c>
      <c r="AY73">
        <v>1</v>
      </c>
      <c r="AZ73">
        <v>0</v>
      </c>
      <c r="BA73">
        <v>72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Y73*Source!I47</f>
        <v>7.17</v>
      </c>
      <c r="CY73">
        <f t="shared" si="6"/>
        <v>222.67</v>
      </c>
      <c r="CZ73">
        <f t="shared" si="7"/>
        <v>65.3</v>
      </c>
      <c r="DA73">
        <f t="shared" si="8"/>
        <v>3.41</v>
      </c>
      <c r="DB73">
        <v>0</v>
      </c>
    </row>
    <row r="74" spans="1:106">
      <c r="A74">
        <f>ROW(Source!A47)</f>
        <v>47</v>
      </c>
      <c r="B74">
        <v>28315699</v>
      </c>
      <c r="C74">
        <v>28316027</v>
      </c>
      <c r="D74">
        <v>0</v>
      </c>
      <c r="E74">
        <v>1</v>
      </c>
      <c r="F74">
        <v>1</v>
      </c>
      <c r="G74">
        <v>1</v>
      </c>
      <c r="H74">
        <v>3</v>
      </c>
      <c r="I74" t="s">
        <v>114</v>
      </c>
      <c r="J74" t="s">
        <v>6</v>
      </c>
      <c r="K74" t="s">
        <v>129</v>
      </c>
      <c r="L74">
        <v>1346</v>
      </c>
      <c r="N74">
        <v>1009</v>
      </c>
      <c r="O74" t="s">
        <v>107</v>
      </c>
      <c r="P74" t="s">
        <v>107</v>
      </c>
      <c r="Q74">
        <v>1</v>
      </c>
      <c r="W74">
        <v>0</v>
      </c>
      <c r="X74">
        <v>-405287729</v>
      </c>
      <c r="Y74">
        <v>1101.564854</v>
      </c>
      <c r="AA74">
        <v>656.95</v>
      </c>
      <c r="AB74">
        <v>0</v>
      </c>
      <c r="AC74">
        <v>0</v>
      </c>
      <c r="AD74">
        <v>0</v>
      </c>
      <c r="AE74">
        <v>656.95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1101.564854</v>
      </c>
      <c r="AU74" t="s">
        <v>6</v>
      </c>
      <c r="AV74">
        <v>0</v>
      </c>
      <c r="AW74">
        <v>1</v>
      </c>
      <c r="AX74">
        <v>-1</v>
      </c>
      <c r="AY74">
        <v>0</v>
      </c>
      <c r="AZ74">
        <v>0</v>
      </c>
      <c r="BA74" t="s">
        <v>6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Y74*Source!I47</f>
        <v>2632.7400010599999</v>
      </c>
      <c r="CY74">
        <f t="shared" si="6"/>
        <v>656.95</v>
      </c>
      <c r="CZ74">
        <f t="shared" si="7"/>
        <v>656.95</v>
      </c>
      <c r="DA74">
        <f t="shared" si="8"/>
        <v>1</v>
      </c>
      <c r="DB74">
        <v>0</v>
      </c>
    </row>
    <row r="75" spans="1:106">
      <c r="A75">
        <f>ROW(Source!A51)</f>
        <v>51</v>
      </c>
      <c r="B75">
        <v>28315699</v>
      </c>
      <c r="C75">
        <v>28316054</v>
      </c>
      <c r="D75">
        <v>25877307</v>
      </c>
      <c r="E75">
        <v>1</v>
      </c>
      <c r="F75">
        <v>1</v>
      </c>
      <c r="G75">
        <v>1</v>
      </c>
      <c r="H75">
        <v>1</v>
      </c>
      <c r="I75" t="s">
        <v>376</v>
      </c>
      <c r="J75" t="s">
        <v>6</v>
      </c>
      <c r="K75" t="s">
        <v>377</v>
      </c>
      <c r="L75">
        <v>1191</v>
      </c>
      <c r="N75">
        <v>1013</v>
      </c>
      <c r="O75" t="s">
        <v>297</v>
      </c>
      <c r="P75" t="s">
        <v>297</v>
      </c>
      <c r="Q75">
        <v>1</v>
      </c>
      <c r="W75">
        <v>0</v>
      </c>
      <c r="X75">
        <v>1069510174</v>
      </c>
      <c r="Y75">
        <v>0.20699999999999999</v>
      </c>
      <c r="AA75">
        <v>0</v>
      </c>
      <c r="AB75">
        <v>0</v>
      </c>
      <c r="AC75">
        <v>0</v>
      </c>
      <c r="AD75">
        <v>9.6199999999999992</v>
      </c>
      <c r="AE75">
        <v>0</v>
      </c>
      <c r="AF75">
        <v>0</v>
      </c>
      <c r="AG75">
        <v>0</v>
      </c>
      <c r="AH75">
        <v>9.6199999999999992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6</v>
      </c>
      <c r="AT75">
        <v>0.18</v>
      </c>
      <c r="AU75" t="s">
        <v>56</v>
      </c>
      <c r="AV75">
        <v>1</v>
      </c>
      <c r="AW75">
        <v>2</v>
      </c>
      <c r="AX75">
        <v>28316057</v>
      </c>
      <c r="AY75">
        <v>1</v>
      </c>
      <c r="AZ75">
        <v>0</v>
      </c>
      <c r="BA75">
        <v>73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Y75*Source!I51</f>
        <v>3.3119999999999998</v>
      </c>
      <c r="CY75">
        <f>AD75</f>
        <v>9.6199999999999992</v>
      </c>
      <c r="CZ75">
        <f>AH75</f>
        <v>9.6199999999999992</v>
      </c>
      <c r="DA75">
        <f>AL75</f>
        <v>1</v>
      </c>
      <c r="DB75">
        <v>0</v>
      </c>
    </row>
    <row r="76" spans="1:106">
      <c r="A76">
        <f>ROW(Source!A51)</f>
        <v>51</v>
      </c>
      <c r="B76">
        <v>28315699</v>
      </c>
      <c r="C76">
        <v>28316054</v>
      </c>
      <c r="D76">
        <v>25627394</v>
      </c>
      <c r="E76">
        <v>1</v>
      </c>
      <c r="F76">
        <v>1</v>
      </c>
      <c r="G76">
        <v>1</v>
      </c>
      <c r="H76">
        <v>3</v>
      </c>
      <c r="I76" t="s">
        <v>138</v>
      </c>
      <c r="J76" t="s">
        <v>140</v>
      </c>
      <c r="K76" t="s">
        <v>139</v>
      </c>
      <c r="L76">
        <v>1354</v>
      </c>
      <c r="N76">
        <v>1010</v>
      </c>
      <c r="O76" t="s">
        <v>90</v>
      </c>
      <c r="P76" t="s">
        <v>90</v>
      </c>
      <c r="Q76">
        <v>1</v>
      </c>
      <c r="W76">
        <v>0</v>
      </c>
      <c r="X76">
        <v>-1220772134</v>
      </c>
      <c r="Y76">
        <v>1</v>
      </c>
      <c r="AA76">
        <v>309.85000000000002</v>
      </c>
      <c r="AB76">
        <v>0</v>
      </c>
      <c r="AC76">
        <v>0</v>
      </c>
      <c r="AD76">
        <v>0</v>
      </c>
      <c r="AE76">
        <v>67.8</v>
      </c>
      <c r="AF76">
        <v>0</v>
      </c>
      <c r="AG76">
        <v>0</v>
      </c>
      <c r="AH76">
        <v>0</v>
      </c>
      <c r="AI76">
        <v>4.57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 t="s">
        <v>6</v>
      </c>
      <c r="AT76">
        <v>1</v>
      </c>
      <c r="AU76" t="s">
        <v>6</v>
      </c>
      <c r="AV76">
        <v>0</v>
      </c>
      <c r="AW76">
        <v>1</v>
      </c>
      <c r="AX76">
        <v>-1</v>
      </c>
      <c r="AY76">
        <v>0</v>
      </c>
      <c r="AZ76">
        <v>0</v>
      </c>
      <c r="BA76" t="s">
        <v>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Y76*Source!I51</f>
        <v>16</v>
      </c>
      <c r="CY76">
        <f>AA76</f>
        <v>309.85000000000002</v>
      </c>
      <c r="CZ76">
        <f>AE76</f>
        <v>67.8</v>
      </c>
      <c r="DA76">
        <f>AI76</f>
        <v>4.57</v>
      </c>
      <c r="DB76">
        <v>0</v>
      </c>
    </row>
    <row r="77" spans="1:106">
      <c r="A77">
        <f>ROW(Source!A53)</f>
        <v>53</v>
      </c>
      <c r="B77">
        <v>28315699</v>
      </c>
      <c r="C77">
        <v>28316060</v>
      </c>
      <c r="D77">
        <v>25871518</v>
      </c>
      <c r="E77">
        <v>1</v>
      </c>
      <c r="F77">
        <v>1</v>
      </c>
      <c r="G77">
        <v>1</v>
      </c>
      <c r="H77">
        <v>1</v>
      </c>
      <c r="I77" t="s">
        <v>342</v>
      </c>
      <c r="J77" t="s">
        <v>6</v>
      </c>
      <c r="K77" t="s">
        <v>343</v>
      </c>
      <c r="L77">
        <v>1191</v>
      </c>
      <c r="N77">
        <v>1013</v>
      </c>
      <c r="O77" t="s">
        <v>297</v>
      </c>
      <c r="P77" t="s">
        <v>297</v>
      </c>
      <c r="Q77">
        <v>1</v>
      </c>
      <c r="W77">
        <v>0</v>
      </c>
      <c r="X77">
        <v>-400197608</v>
      </c>
      <c r="Y77">
        <v>129.66249999999999</v>
      </c>
      <c r="AA77">
        <v>0</v>
      </c>
      <c r="AB77">
        <v>0</v>
      </c>
      <c r="AC77">
        <v>0</v>
      </c>
      <c r="AD77">
        <v>8.5299999999999994</v>
      </c>
      <c r="AE77">
        <v>0</v>
      </c>
      <c r="AF77">
        <v>0</v>
      </c>
      <c r="AG77">
        <v>0</v>
      </c>
      <c r="AH77">
        <v>8.5299999999999994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1</v>
      </c>
      <c r="AQ77">
        <v>0</v>
      </c>
      <c r="AR77">
        <v>0</v>
      </c>
      <c r="AS77" t="s">
        <v>6</v>
      </c>
      <c r="AT77">
        <v>112.75</v>
      </c>
      <c r="AU77" t="s">
        <v>56</v>
      </c>
      <c r="AV77">
        <v>1</v>
      </c>
      <c r="AW77">
        <v>2</v>
      </c>
      <c r="AX77">
        <v>28316068</v>
      </c>
      <c r="AY77">
        <v>1</v>
      </c>
      <c r="AZ77">
        <v>0</v>
      </c>
      <c r="BA77">
        <v>75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Y77*Source!I53</f>
        <v>280.07100000000003</v>
      </c>
      <c r="CY77">
        <f>AD77</f>
        <v>8.5299999999999994</v>
      </c>
      <c r="CZ77">
        <f>AH77</f>
        <v>8.5299999999999994</v>
      </c>
      <c r="DA77">
        <f>AL77</f>
        <v>1</v>
      </c>
      <c r="DB77">
        <v>0</v>
      </c>
    </row>
    <row r="78" spans="1:106">
      <c r="A78">
        <f>ROW(Source!A53)</f>
        <v>53</v>
      </c>
      <c r="B78">
        <v>28315699</v>
      </c>
      <c r="C78">
        <v>28316060</v>
      </c>
      <c r="D78">
        <v>25871146</v>
      </c>
      <c r="E78">
        <v>1</v>
      </c>
      <c r="F78">
        <v>1</v>
      </c>
      <c r="G78">
        <v>1</v>
      </c>
      <c r="H78">
        <v>1</v>
      </c>
      <c r="I78" t="s">
        <v>307</v>
      </c>
      <c r="J78" t="s">
        <v>6</v>
      </c>
      <c r="K78" t="s">
        <v>308</v>
      </c>
      <c r="L78">
        <v>1191</v>
      </c>
      <c r="N78">
        <v>1013</v>
      </c>
      <c r="O78" t="s">
        <v>297</v>
      </c>
      <c r="P78" t="s">
        <v>297</v>
      </c>
      <c r="Q78">
        <v>1</v>
      </c>
      <c r="W78">
        <v>0</v>
      </c>
      <c r="X78">
        <v>-1417349443</v>
      </c>
      <c r="Y78">
        <v>0.27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6</v>
      </c>
      <c r="AT78">
        <v>0.27</v>
      </c>
      <c r="AU78" t="s">
        <v>6</v>
      </c>
      <c r="AV78">
        <v>2</v>
      </c>
      <c r="AW78">
        <v>2</v>
      </c>
      <c r="AX78">
        <v>28316069</v>
      </c>
      <c r="AY78">
        <v>1</v>
      </c>
      <c r="AZ78">
        <v>2048</v>
      </c>
      <c r="BA78">
        <v>76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Y78*Source!I53</f>
        <v>0.58320000000000005</v>
      </c>
      <c r="CY78">
        <f>AD78</f>
        <v>0</v>
      </c>
      <c r="CZ78">
        <f>AH78</f>
        <v>0</v>
      </c>
      <c r="DA78">
        <f>AL78</f>
        <v>1</v>
      </c>
      <c r="DB78">
        <v>0</v>
      </c>
    </row>
    <row r="79" spans="1:106">
      <c r="A79">
        <f>ROW(Source!A53)</f>
        <v>53</v>
      </c>
      <c r="B79">
        <v>28315699</v>
      </c>
      <c r="C79">
        <v>28316060</v>
      </c>
      <c r="D79">
        <v>25685503</v>
      </c>
      <c r="E79">
        <v>1</v>
      </c>
      <c r="F79">
        <v>1</v>
      </c>
      <c r="G79">
        <v>1</v>
      </c>
      <c r="H79">
        <v>2</v>
      </c>
      <c r="I79" t="s">
        <v>378</v>
      </c>
      <c r="J79" t="s">
        <v>379</v>
      </c>
      <c r="K79" t="s">
        <v>380</v>
      </c>
      <c r="L79">
        <v>1368</v>
      </c>
      <c r="N79">
        <v>1011</v>
      </c>
      <c r="O79" t="s">
        <v>301</v>
      </c>
      <c r="P79" t="s">
        <v>301</v>
      </c>
      <c r="Q79">
        <v>1</v>
      </c>
      <c r="W79">
        <v>0</v>
      </c>
      <c r="X79">
        <v>-1460065968</v>
      </c>
      <c r="Y79">
        <v>0.25</v>
      </c>
      <c r="AA79">
        <v>0</v>
      </c>
      <c r="AB79">
        <v>632.45000000000005</v>
      </c>
      <c r="AC79">
        <v>349.52</v>
      </c>
      <c r="AD79">
        <v>0</v>
      </c>
      <c r="AE79">
        <v>0</v>
      </c>
      <c r="AF79">
        <v>86.4</v>
      </c>
      <c r="AG79">
        <v>13.5</v>
      </c>
      <c r="AH79">
        <v>0</v>
      </c>
      <c r="AI79">
        <v>1</v>
      </c>
      <c r="AJ79">
        <v>7.32</v>
      </c>
      <c r="AK79">
        <v>25.89</v>
      </c>
      <c r="AL79">
        <v>1</v>
      </c>
      <c r="AN79">
        <v>0</v>
      </c>
      <c r="AO79">
        <v>1</v>
      </c>
      <c r="AP79">
        <v>1</v>
      </c>
      <c r="AQ79">
        <v>0</v>
      </c>
      <c r="AR79">
        <v>0</v>
      </c>
      <c r="AS79" t="s">
        <v>6</v>
      </c>
      <c r="AT79">
        <v>0.2</v>
      </c>
      <c r="AU79" t="s">
        <v>55</v>
      </c>
      <c r="AV79">
        <v>0</v>
      </c>
      <c r="AW79">
        <v>2</v>
      </c>
      <c r="AX79">
        <v>28316070</v>
      </c>
      <c r="AY79">
        <v>1</v>
      </c>
      <c r="AZ79">
        <v>0</v>
      </c>
      <c r="BA79">
        <v>77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Y79*Source!I53</f>
        <v>0.54</v>
      </c>
      <c r="CY79">
        <f>AB79</f>
        <v>632.45000000000005</v>
      </c>
      <c r="CZ79">
        <f>AF79</f>
        <v>86.4</v>
      </c>
      <c r="DA79">
        <f>AJ79</f>
        <v>7.32</v>
      </c>
      <c r="DB79">
        <v>0</v>
      </c>
    </row>
    <row r="80" spans="1:106">
      <c r="A80">
        <f>ROW(Source!A53)</f>
        <v>53</v>
      </c>
      <c r="B80">
        <v>28315699</v>
      </c>
      <c r="C80">
        <v>28316060</v>
      </c>
      <c r="D80">
        <v>25687000</v>
      </c>
      <c r="E80">
        <v>1</v>
      </c>
      <c r="F80">
        <v>1</v>
      </c>
      <c r="G80">
        <v>1</v>
      </c>
      <c r="H80">
        <v>2</v>
      </c>
      <c r="I80" t="s">
        <v>315</v>
      </c>
      <c r="J80" t="s">
        <v>316</v>
      </c>
      <c r="K80" t="s">
        <v>317</v>
      </c>
      <c r="L80">
        <v>1368</v>
      </c>
      <c r="N80">
        <v>1011</v>
      </c>
      <c r="O80" t="s">
        <v>301</v>
      </c>
      <c r="P80" t="s">
        <v>301</v>
      </c>
      <c r="Q80">
        <v>1</v>
      </c>
      <c r="W80">
        <v>0</v>
      </c>
      <c r="X80">
        <v>1372534845</v>
      </c>
      <c r="Y80">
        <v>8.7500000000000008E-2</v>
      </c>
      <c r="AA80">
        <v>0</v>
      </c>
      <c r="AB80">
        <v>692.58</v>
      </c>
      <c r="AC80">
        <v>300.32</v>
      </c>
      <c r="AD80">
        <v>0</v>
      </c>
      <c r="AE80">
        <v>0</v>
      </c>
      <c r="AF80">
        <v>65.709999999999994</v>
      </c>
      <c r="AG80">
        <v>11.6</v>
      </c>
      <c r="AH80">
        <v>0</v>
      </c>
      <c r="AI80">
        <v>1</v>
      </c>
      <c r="AJ80">
        <v>10.54</v>
      </c>
      <c r="AK80">
        <v>25.89</v>
      </c>
      <c r="AL80">
        <v>1</v>
      </c>
      <c r="AN80">
        <v>0</v>
      </c>
      <c r="AO80">
        <v>1</v>
      </c>
      <c r="AP80">
        <v>1</v>
      </c>
      <c r="AQ80">
        <v>0</v>
      </c>
      <c r="AR80">
        <v>0</v>
      </c>
      <c r="AS80" t="s">
        <v>6</v>
      </c>
      <c r="AT80">
        <v>7.0000000000000007E-2</v>
      </c>
      <c r="AU80" t="s">
        <v>55</v>
      </c>
      <c r="AV80">
        <v>0</v>
      </c>
      <c r="AW80">
        <v>2</v>
      </c>
      <c r="AX80">
        <v>28316071</v>
      </c>
      <c r="AY80">
        <v>1</v>
      </c>
      <c r="AZ80">
        <v>0</v>
      </c>
      <c r="BA80">
        <v>78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Y80*Source!I53</f>
        <v>0.18900000000000003</v>
      </c>
      <c r="CY80">
        <f>AB80</f>
        <v>692.58</v>
      </c>
      <c r="CZ80">
        <f>AF80</f>
        <v>65.709999999999994</v>
      </c>
      <c r="DA80">
        <f>AJ80</f>
        <v>10.54</v>
      </c>
      <c r="DB80">
        <v>0</v>
      </c>
    </row>
    <row r="81" spans="1:106">
      <c r="A81">
        <f>ROW(Source!A53)</f>
        <v>53</v>
      </c>
      <c r="B81">
        <v>28315699</v>
      </c>
      <c r="C81">
        <v>28316060</v>
      </c>
      <c r="D81">
        <v>25607811</v>
      </c>
      <c r="E81">
        <v>1</v>
      </c>
      <c r="F81">
        <v>1</v>
      </c>
      <c r="G81">
        <v>1</v>
      </c>
      <c r="H81">
        <v>3</v>
      </c>
      <c r="I81" t="s">
        <v>381</v>
      </c>
      <c r="J81" t="s">
        <v>382</v>
      </c>
      <c r="K81" t="s">
        <v>383</v>
      </c>
      <c r="L81">
        <v>1348</v>
      </c>
      <c r="N81">
        <v>1009</v>
      </c>
      <c r="O81" t="s">
        <v>30</v>
      </c>
      <c r="P81" t="s">
        <v>30</v>
      </c>
      <c r="Q81">
        <v>1000</v>
      </c>
      <c r="W81">
        <v>0</v>
      </c>
      <c r="X81">
        <v>-1818623805</v>
      </c>
      <c r="Y81">
        <v>4.0000000000000001E-3</v>
      </c>
      <c r="AA81">
        <v>80597.25</v>
      </c>
      <c r="AB81">
        <v>0</v>
      </c>
      <c r="AC81">
        <v>0</v>
      </c>
      <c r="AD81">
        <v>0</v>
      </c>
      <c r="AE81">
        <v>8475</v>
      </c>
      <c r="AF81">
        <v>0</v>
      </c>
      <c r="AG81">
        <v>0</v>
      </c>
      <c r="AH81">
        <v>0</v>
      </c>
      <c r="AI81">
        <v>9.51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6</v>
      </c>
      <c r="AT81">
        <v>4.0000000000000001E-3</v>
      </c>
      <c r="AU81" t="s">
        <v>6</v>
      </c>
      <c r="AV81">
        <v>0</v>
      </c>
      <c r="AW81">
        <v>2</v>
      </c>
      <c r="AX81">
        <v>28316072</v>
      </c>
      <c r="AY81">
        <v>1</v>
      </c>
      <c r="AZ81">
        <v>0</v>
      </c>
      <c r="BA81">
        <v>79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Y81*Source!I53</f>
        <v>8.6400000000000001E-3</v>
      </c>
      <c r="CY81">
        <f>AA81</f>
        <v>80597.25</v>
      </c>
      <c r="CZ81">
        <f>AE81</f>
        <v>8475</v>
      </c>
      <c r="DA81">
        <f>AI81</f>
        <v>9.51</v>
      </c>
      <c r="DB81">
        <v>0</v>
      </c>
    </row>
    <row r="82" spans="1:106">
      <c r="A82">
        <f>ROW(Source!A53)</f>
        <v>53</v>
      </c>
      <c r="B82">
        <v>28315699</v>
      </c>
      <c r="C82">
        <v>28316060</v>
      </c>
      <c r="D82">
        <v>25628908</v>
      </c>
      <c r="E82">
        <v>1</v>
      </c>
      <c r="F82">
        <v>1</v>
      </c>
      <c r="G82">
        <v>1</v>
      </c>
      <c r="H82">
        <v>3</v>
      </c>
      <c r="I82" t="s">
        <v>384</v>
      </c>
      <c r="J82" t="s">
        <v>385</v>
      </c>
      <c r="K82" t="s">
        <v>386</v>
      </c>
      <c r="L82">
        <v>1348</v>
      </c>
      <c r="N82">
        <v>1009</v>
      </c>
      <c r="O82" t="s">
        <v>30</v>
      </c>
      <c r="P82" t="s">
        <v>30</v>
      </c>
      <c r="Q82">
        <v>1000</v>
      </c>
      <c r="W82">
        <v>0</v>
      </c>
      <c r="X82">
        <v>-177380457</v>
      </c>
      <c r="Y82">
        <v>1.2E-2</v>
      </c>
      <c r="AA82">
        <v>47338.2</v>
      </c>
      <c r="AB82">
        <v>0</v>
      </c>
      <c r="AC82">
        <v>0</v>
      </c>
      <c r="AD82">
        <v>0</v>
      </c>
      <c r="AE82">
        <v>8190</v>
      </c>
      <c r="AF82">
        <v>0</v>
      </c>
      <c r="AG82">
        <v>0</v>
      </c>
      <c r="AH82">
        <v>0</v>
      </c>
      <c r="AI82">
        <v>5.78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6</v>
      </c>
      <c r="AT82">
        <v>1.2E-2</v>
      </c>
      <c r="AU82" t="s">
        <v>6</v>
      </c>
      <c r="AV82">
        <v>0</v>
      </c>
      <c r="AW82">
        <v>2</v>
      </c>
      <c r="AX82">
        <v>28316073</v>
      </c>
      <c r="AY82">
        <v>1</v>
      </c>
      <c r="AZ82">
        <v>0</v>
      </c>
      <c r="BA82">
        <v>80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Y82*Source!I53</f>
        <v>2.5920000000000002E-2</v>
      </c>
      <c r="CY82">
        <f>AA82</f>
        <v>47338.2</v>
      </c>
      <c r="CZ82">
        <f>AE82</f>
        <v>8190</v>
      </c>
      <c r="DA82">
        <f>AI82</f>
        <v>5.78</v>
      </c>
      <c r="DB82">
        <v>0</v>
      </c>
    </row>
    <row r="83" spans="1:106">
      <c r="A83">
        <f>ROW(Source!A53)</f>
        <v>53</v>
      </c>
      <c r="B83">
        <v>28315699</v>
      </c>
      <c r="C83">
        <v>28316060</v>
      </c>
      <c r="D83">
        <v>25629155</v>
      </c>
      <c r="E83">
        <v>1</v>
      </c>
      <c r="F83">
        <v>1</v>
      </c>
      <c r="G83">
        <v>1</v>
      </c>
      <c r="H83">
        <v>3</v>
      </c>
      <c r="I83" t="s">
        <v>387</v>
      </c>
      <c r="J83" t="s">
        <v>388</v>
      </c>
      <c r="K83" t="s">
        <v>389</v>
      </c>
      <c r="L83">
        <v>1348</v>
      </c>
      <c r="N83">
        <v>1009</v>
      </c>
      <c r="O83" t="s">
        <v>30</v>
      </c>
      <c r="P83" t="s">
        <v>30</v>
      </c>
      <c r="Q83">
        <v>1000</v>
      </c>
      <c r="W83">
        <v>0</v>
      </c>
      <c r="X83">
        <v>-272931147</v>
      </c>
      <c r="Y83">
        <v>0.78200000000000003</v>
      </c>
      <c r="AA83">
        <v>50848</v>
      </c>
      <c r="AB83">
        <v>0</v>
      </c>
      <c r="AC83">
        <v>0</v>
      </c>
      <c r="AD83">
        <v>0</v>
      </c>
      <c r="AE83">
        <v>11200</v>
      </c>
      <c r="AF83">
        <v>0</v>
      </c>
      <c r="AG83">
        <v>0</v>
      </c>
      <c r="AH83">
        <v>0</v>
      </c>
      <c r="AI83">
        <v>4.54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6</v>
      </c>
      <c r="AT83">
        <v>0.78200000000000003</v>
      </c>
      <c r="AU83" t="s">
        <v>6</v>
      </c>
      <c r="AV83">
        <v>0</v>
      </c>
      <c r="AW83">
        <v>2</v>
      </c>
      <c r="AX83">
        <v>28316074</v>
      </c>
      <c r="AY83">
        <v>1</v>
      </c>
      <c r="AZ83">
        <v>0</v>
      </c>
      <c r="BA83">
        <v>81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Y83*Source!I53</f>
        <v>1.6891200000000002</v>
      </c>
      <c r="CY83">
        <f>AA83</f>
        <v>50848</v>
      </c>
      <c r="CZ83">
        <f>AE83</f>
        <v>11200</v>
      </c>
      <c r="DA83">
        <f>AI83</f>
        <v>4.54</v>
      </c>
      <c r="DB83">
        <v>0</v>
      </c>
    </row>
    <row r="84" spans="1:106">
      <c r="A84">
        <f>ROW(Source!A54)</f>
        <v>54</v>
      </c>
      <c r="B84">
        <v>28315699</v>
      </c>
      <c r="C84">
        <v>28316090</v>
      </c>
      <c r="D84">
        <v>25877307</v>
      </c>
      <c r="E84">
        <v>1</v>
      </c>
      <c r="F84">
        <v>1</v>
      </c>
      <c r="G84">
        <v>1</v>
      </c>
      <c r="H84">
        <v>1</v>
      </c>
      <c r="I84" t="s">
        <v>376</v>
      </c>
      <c r="J84" t="s">
        <v>6</v>
      </c>
      <c r="K84" t="s">
        <v>377</v>
      </c>
      <c r="L84">
        <v>1191</v>
      </c>
      <c r="N84">
        <v>1013</v>
      </c>
      <c r="O84" t="s">
        <v>297</v>
      </c>
      <c r="P84" t="s">
        <v>297</v>
      </c>
      <c r="Q84">
        <v>1</v>
      </c>
      <c r="W84">
        <v>0</v>
      </c>
      <c r="X84">
        <v>1069510174</v>
      </c>
      <c r="Y84">
        <v>7.19</v>
      </c>
      <c r="AA84">
        <v>0</v>
      </c>
      <c r="AB84">
        <v>0</v>
      </c>
      <c r="AC84">
        <v>0</v>
      </c>
      <c r="AD84">
        <v>9.6199999999999992</v>
      </c>
      <c r="AE84">
        <v>0</v>
      </c>
      <c r="AF84">
        <v>0</v>
      </c>
      <c r="AG84">
        <v>0</v>
      </c>
      <c r="AH84">
        <v>9.6199999999999992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6</v>
      </c>
      <c r="AT84">
        <v>7.19</v>
      </c>
      <c r="AU84" t="s">
        <v>6</v>
      </c>
      <c r="AV84">
        <v>1</v>
      </c>
      <c r="AW84">
        <v>2</v>
      </c>
      <c r="AX84">
        <v>28316095</v>
      </c>
      <c r="AY84">
        <v>1</v>
      </c>
      <c r="AZ84">
        <v>0</v>
      </c>
      <c r="BA84">
        <v>82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Y84*Source!I54</f>
        <v>6.2553000000000001</v>
      </c>
      <c r="CY84">
        <f>AD84</f>
        <v>9.6199999999999992</v>
      </c>
      <c r="CZ84">
        <f>AH84</f>
        <v>9.6199999999999992</v>
      </c>
      <c r="DA84">
        <f>AL84</f>
        <v>1</v>
      </c>
      <c r="DB84">
        <v>0</v>
      </c>
    </row>
    <row r="85" spans="1:106">
      <c r="A85">
        <f>ROW(Source!A54)</f>
        <v>54</v>
      </c>
      <c r="B85">
        <v>28315699</v>
      </c>
      <c r="C85">
        <v>28316090</v>
      </c>
      <c r="D85">
        <v>25871146</v>
      </c>
      <c r="E85">
        <v>1</v>
      </c>
      <c r="F85">
        <v>1</v>
      </c>
      <c r="G85">
        <v>1</v>
      </c>
      <c r="H85">
        <v>1</v>
      </c>
      <c r="I85" t="s">
        <v>307</v>
      </c>
      <c r="J85" t="s">
        <v>6</v>
      </c>
      <c r="K85" t="s">
        <v>308</v>
      </c>
      <c r="L85">
        <v>1191</v>
      </c>
      <c r="N85">
        <v>1013</v>
      </c>
      <c r="O85" t="s">
        <v>297</v>
      </c>
      <c r="P85" t="s">
        <v>297</v>
      </c>
      <c r="Q85">
        <v>1</v>
      </c>
      <c r="W85">
        <v>0</v>
      </c>
      <c r="X85">
        <v>-1417349443</v>
      </c>
      <c r="Y85">
        <v>0.01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6</v>
      </c>
      <c r="AT85">
        <v>0.01</v>
      </c>
      <c r="AU85" t="s">
        <v>6</v>
      </c>
      <c r="AV85">
        <v>2</v>
      </c>
      <c r="AW85">
        <v>2</v>
      </c>
      <c r="AX85">
        <v>28316096</v>
      </c>
      <c r="AY85">
        <v>1</v>
      </c>
      <c r="AZ85">
        <v>0</v>
      </c>
      <c r="BA85">
        <v>83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Y85*Source!I54</f>
        <v>8.6999999999999994E-3</v>
      </c>
      <c r="CY85">
        <f>AD85</f>
        <v>0</v>
      </c>
      <c r="CZ85">
        <f>AH85</f>
        <v>0</v>
      </c>
      <c r="DA85">
        <f>AL85</f>
        <v>1</v>
      </c>
      <c r="DB85">
        <v>0</v>
      </c>
    </row>
    <row r="86" spans="1:106">
      <c r="A86">
        <f>ROW(Source!A54)</f>
        <v>54</v>
      </c>
      <c r="B86">
        <v>28315699</v>
      </c>
      <c r="C86">
        <v>28316090</v>
      </c>
      <c r="D86">
        <v>25687000</v>
      </c>
      <c r="E86">
        <v>1</v>
      </c>
      <c r="F86">
        <v>1</v>
      </c>
      <c r="G86">
        <v>1</v>
      </c>
      <c r="H86">
        <v>2</v>
      </c>
      <c r="I86" t="s">
        <v>315</v>
      </c>
      <c r="J86" t="s">
        <v>316</v>
      </c>
      <c r="K86" t="s">
        <v>317</v>
      </c>
      <c r="L86">
        <v>1368</v>
      </c>
      <c r="N86">
        <v>1011</v>
      </c>
      <c r="O86" t="s">
        <v>301</v>
      </c>
      <c r="P86" t="s">
        <v>301</v>
      </c>
      <c r="Q86">
        <v>1</v>
      </c>
      <c r="W86">
        <v>0</v>
      </c>
      <c r="X86">
        <v>1372534845</v>
      </c>
      <c r="Y86">
        <v>0.01</v>
      </c>
      <c r="AA86">
        <v>0</v>
      </c>
      <c r="AB86">
        <v>692.58</v>
      </c>
      <c r="AC86">
        <v>300.32</v>
      </c>
      <c r="AD86">
        <v>0</v>
      </c>
      <c r="AE86">
        <v>0</v>
      </c>
      <c r="AF86">
        <v>65.709999999999994</v>
      </c>
      <c r="AG86">
        <v>11.6</v>
      </c>
      <c r="AH86">
        <v>0</v>
      </c>
      <c r="AI86">
        <v>1</v>
      </c>
      <c r="AJ86">
        <v>10.54</v>
      </c>
      <c r="AK86">
        <v>25.89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6</v>
      </c>
      <c r="AT86">
        <v>0.01</v>
      </c>
      <c r="AU86" t="s">
        <v>6</v>
      </c>
      <c r="AV86">
        <v>0</v>
      </c>
      <c r="AW86">
        <v>2</v>
      </c>
      <c r="AX86">
        <v>28316097</v>
      </c>
      <c r="AY86">
        <v>1</v>
      </c>
      <c r="AZ86">
        <v>0</v>
      </c>
      <c r="BA86">
        <v>84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Y86*Source!I54</f>
        <v>8.6999999999999994E-3</v>
      </c>
      <c r="CY86">
        <f>AB86</f>
        <v>692.58</v>
      </c>
      <c r="CZ86">
        <f>AF86</f>
        <v>65.709999999999994</v>
      </c>
      <c r="DA86">
        <f>AJ86</f>
        <v>10.54</v>
      </c>
      <c r="DB86">
        <v>0</v>
      </c>
    </row>
    <row r="87" spans="1:106">
      <c r="A87">
        <f>ROW(Source!A54)</f>
        <v>54</v>
      </c>
      <c r="B87">
        <v>28315699</v>
      </c>
      <c r="C87">
        <v>28316090</v>
      </c>
      <c r="D87">
        <v>25642010</v>
      </c>
      <c r="E87">
        <v>1</v>
      </c>
      <c r="F87">
        <v>1</v>
      </c>
      <c r="G87">
        <v>1</v>
      </c>
      <c r="H87">
        <v>3</v>
      </c>
      <c r="I87" t="s">
        <v>150</v>
      </c>
      <c r="J87" t="s">
        <v>152</v>
      </c>
      <c r="K87" t="s">
        <v>151</v>
      </c>
      <c r="L87">
        <v>1346</v>
      </c>
      <c r="N87">
        <v>1009</v>
      </c>
      <c r="O87" t="s">
        <v>107</v>
      </c>
      <c r="P87" t="s">
        <v>107</v>
      </c>
      <c r="Q87">
        <v>1</v>
      </c>
      <c r="W87">
        <v>0</v>
      </c>
      <c r="X87">
        <v>143409567</v>
      </c>
      <c r="Y87">
        <v>19.5</v>
      </c>
      <c r="AA87">
        <v>741.77</v>
      </c>
      <c r="AB87">
        <v>0</v>
      </c>
      <c r="AC87">
        <v>0</v>
      </c>
      <c r="AD87">
        <v>0</v>
      </c>
      <c r="AE87">
        <v>90.13</v>
      </c>
      <c r="AF87">
        <v>0</v>
      </c>
      <c r="AG87">
        <v>0</v>
      </c>
      <c r="AH87">
        <v>0</v>
      </c>
      <c r="AI87">
        <v>8.23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19.5</v>
      </c>
      <c r="AU87" t="s">
        <v>6</v>
      </c>
      <c r="AV87">
        <v>0</v>
      </c>
      <c r="AW87">
        <v>1</v>
      </c>
      <c r="AX87">
        <v>-1</v>
      </c>
      <c r="AY87">
        <v>0</v>
      </c>
      <c r="AZ87">
        <v>0</v>
      </c>
      <c r="BA87" t="s">
        <v>6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Y87*Source!I54</f>
        <v>16.965</v>
      </c>
      <c r="CY87">
        <f>AA87</f>
        <v>741.77</v>
      </c>
      <c r="CZ87">
        <f>AE87</f>
        <v>90.13</v>
      </c>
      <c r="DA87">
        <f>AI87</f>
        <v>8.23</v>
      </c>
      <c r="DB87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R86"/>
  <sheetViews>
    <sheetView workbookViewId="0"/>
  </sheetViews>
  <sheetFormatPr defaultColWidth="9.140625" defaultRowHeight="12.75"/>
  <cols>
    <col min="1" max="256" width="9.140625" customWidth="1"/>
  </cols>
  <sheetData>
    <row r="1" spans="1:44">
      <c r="A1">
        <f>ROW(Source!A24)</f>
        <v>24</v>
      </c>
      <c r="B1">
        <v>28315854</v>
      </c>
      <c r="C1">
        <v>28315850</v>
      </c>
      <c r="D1">
        <v>25871268</v>
      </c>
      <c r="E1">
        <v>1</v>
      </c>
      <c r="F1">
        <v>1</v>
      </c>
      <c r="G1">
        <v>1</v>
      </c>
      <c r="H1">
        <v>1</v>
      </c>
      <c r="I1" t="s">
        <v>295</v>
      </c>
      <c r="J1" t="s">
        <v>6</v>
      </c>
      <c r="K1" t="s">
        <v>296</v>
      </c>
      <c r="L1">
        <v>1191</v>
      </c>
      <c r="N1">
        <v>1013</v>
      </c>
      <c r="O1" t="s">
        <v>297</v>
      </c>
      <c r="P1" t="s">
        <v>297</v>
      </c>
      <c r="Q1">
        <v>1</v>
      </c>
      <c r="X1">
        <v>9.1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6</v>
      </c>
      <c r="AG1">
        <v>9.1</v>
      </c>
      <c r="AH1">
        <v>2</v>
      </c>
      <c r="AI1">
        <v>28315851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>
      <c r="A2">
        <f>ROW(Source!A24)</f>
        <v>24</v>
      </c>
      <c r="B2">
        <v>28315855</v>
      </c>
      <c r="C2">
        <v>28315850</v>
      </c>
      <c r="D2">
        <v>25685803</v>
      </c>
      <c r="E2">
        <v>1</v>
      </c>
      <c r="F2">
        <v>1</v>
      </c>
      <c r="G2">
        <v>1</v>
      </c>
      <c r="H2">
        <v>2</v>
      </c>
      <c r="I2" t="s">
        <v>298</v>
      </c>
      <c r="J2" t="s">
        <v>299</v>
      </c>
      <c r="K2" t="s">
        <v>300</v>
      </c>
      <c r="L2">
        <v>1368</v>
      </c>
      <c r="N2">
        <v>1011</v>
      </c>
      <c r="O2" t="s">
        <v>301</v>
      </c>
      <c r="P2" t="s">
        <v>301</v>
      </c>
      <c r="Q2">
        <v>1</v>
      </c>
      <c r="X2">
        <v>0.12</v>
      </c>
      <c r="Y2">
        <v>0</v>
      </c>
      <c r="Z2">
        <v>1.7</v>
      </c>
      <c r="AA2">
        <v>0</v>
      </c>
      <c r="AB2">
        <v>0</v>
      </c>
      <c r="AC2">
        <v>0</v>
      </c>
      <c r="AD2">
        <v>1</v>
      </c>
      <c r="AE2">
        <v>0</v>
      </c>
      <c r="AF2" t="s">
        <v>6</v>
      </c>
      <c r="AG2">
        <v>0.12</v>
      </c>
      <c r="AH2">
        <v>2</v>
      </c>
      <c r="AI2">
        <v>28315852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>
      <c r="A3">
        <f>ROW(Source!A24)</f>
        <v>24</v>
      </c>
      <c r="B3">
        <v>28315856</v>
      </c>
      <c r="C3">
        <v>28315850</v>
      </c>
      <c r="D3">
        <v>25602320</v>
      </c>
      <c r="E3">
        <v>17</v>
      </c>
      <c r="F3">
        <v>1</v>
      </c>
      <c r="G3">
        <v>1</v>
      </c>
      <c r="H3">
        <v>3</v>
      </c>
      <c r="I3" t="s">
        <v>28</v>
      </c>
      <c r="J3" t="s">
        <v>6</v>
      </c>
      <c r="K3" t="s">
        <v>29</v>
      </c>
      <c r="L3">
        <v>1348</v>
      </c>
      <c r="N3">
        <v>1009</v>
      </c>
      <c r="O3" t="s">
        <v>30</v>
      </c>
      <c r="P3" t="s">
        <v>30</v>
      </c>
      <c r="Q3">
        <v>1000</v>
      </c>
      <c r="X3">
        <v>0.12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 t="s">
        <v>6</v>
      </c>
      <c r="AG3">
        <v>0.12</v>
      </c>
      <c r="AH3">
        <v>2</v>
      </c>
      <c r="AI3">
        <v>28315853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>
      <c r="A4">
        <f>ROW(Source!A26)</f>
        <v>26</v>
      </c>
      <c r="B4">
        <v>28315861</v>
      </c>
      <c r="C4">
        <v>28315858</v>
      </c>
      <c r="D4">
        <v>25871268</v>
      </c>
      <c r="E4">
        <v>1</v>
      </c>
      <c r="F4">
        <v>1</v>
      </c>
      <c r="G4">
        <v>1</v>
      </c>
      <c r="H4">
        <v>1</v>
      </c>
      <c r="I4" t="s">
        <v>295</v>
      </c>
      <c r="J4" t="s">
        <v>6</v>
      </c>
      <c r="K4" t="s">
        <v>296</v>
      </c>
      <c r="L4">
        <v>1191</v>
      </c>
      <c r="N4">
        <v>1013</v>
      </c>
      <c r="O4" t="s">
        <v>297</v>
      </c>
      <c r="P4" t="s">
        <v>297</v>
      </c>
      <c r="Q4">
        <v>1</v>
      </c>
      <c r="X4">
        <v>14.38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6</v>
      </c>
      <c r="AG4">
        <v>14.38</v>
      </c>
      <c r="AH4">
        <v>2</v>
      </c>
      <c r="AI4">
        <v>28315859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>
      <c r="A5">
        <f>ROW(Source!A26)</f>
        <v>26</v>
      </c>
      <c r="B5">
        <v>28315862</v>
      </c>
      <c r="C5">
        <v>28315858</v>
      </c>
      <c r="D5">
        <v>25685798</v>
      </c>
      <c r="E5">
        <v>1</v>
      </c>
      <c r="F5">
        <v>1</v>
      </c>
      <c r="G5">
        <v>1</v>
      </c>
      <c r="H5">
        <v>2</v>
      </c>
      <c r="I5" t="s">
        <v>302</v>
      </c>
      <c r="J5" t="s">
        <v>303</v>
      </c>
      <c r="K5" t="s">
        <v>304</v>
      </c>
      <c r="L5">
        <v>1368</v>
      </c>
      <c r="N5">
        <v>1011</v>
      </c>
      <c r="O5" t="s">
        <v>301</v>
      </c>
      <c r="P5" t="s">
        <v>301</v>
      </c>
      <c r="Q5">
        <v>1</v>
      </c>
      <c r="X5">
        <v>6.22</v>
      </c>
      <c r="Y5">
        <v>0</v>
      </c>
      <c r="Z5">
        <v>6.66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6</v>
      </c>
      <c r="AG5">
        <v>6.22</v>
      </c>
      <c r="AH5">
        <v>2</v>
      </c>
      <c r="AI5">
        <v>28315860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>
      <c r="A6">
        <f>ROW(Source!A27)</f>
        <v>27</v>
      </c>
      <c r="B6">
        <v>28315872</v>
      </c>
      <c r="C6">
        <v>28315863</v>
      </c>
      <c r="D6">
        <v>25876765</v>
      </c>
      <c r="E6">
        <v>1</v>
      </c>
      <c r="F6">
        <v>1</v>
      </c>
      <c r="G6">
        <v>1</v>
      </c>
      <c r="H6">
        <v>1</v>
      </c>
      <c r="I6" t="s">
        <v>305</v>
      </c>
      <c r="J6" t="s">
        <v>6</v>
      </c>
      <c r="K6" t="s">
        <v>306</v>
      </c>
      <c r="L6">
        <v>1191</v>
      </c>
      <c r="N6">
        <v>1013</v>
      </c>
      <c r="O6" t="s">
        <v>297</v>
      </c>
      <c r="P6" t="s">
        <v>297</v>
      </c>
      <c r="Q6">
        <v>1</v>
      </c>
      <c r="X6">
        <v>22.35</v>
      </c>
      <c r="Y6">
        <v>0</v>
      </c>
      <c r="Z6">
        <v>0</v>
      </c>
      <c r="AA6">
        <v>0</v>
      </c>
      <c r="AB6">
        <v>8.74</v>
      </c>
      <c r="AC6">
        <v>0</v>
      </c>
      <c r="AD6">
        <v>1</v>
      </c>
      <c r="AE6">
        <v>1</v>
      </c>
      <c r="AF6" t="s">
        <v>6</v>
      </c>
      <c r="AG6">
        <v>22.35</v>
      </c>
      <c r="AH6">
        <v>2</v>
      </c>
      <c r="AI6">
        <v>28315864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>
      <c r="A7">
        <f>ROW(Source!A27)</f>
        <v>27</v>
      </c>
      <c r="B7">
        <v>28315873</v>
      </c>
      <c r="C7">
        <v>28315863</v>
      </c>
      <c r="D7">
        <v>25871146</v>
      </c>
      <c r="E7">
        <v>1</v>
      </c>
      <c r="F7">
        <v>1</v>
      </c>
      <c r="G7">
        <v>1</v>
      </c>
      <c r="H7">
        <v>1</v>
      </c>
      <c r="I7" t="s">
        <v>307</v>
      </c>
      <c r="J7" t="s">
        <v>6</v>
      </c>
      <c r="K7" t="s">
        <v>308</v>
      </c>
      <c r="L7">
        <v>1191</v>
      </c>
      <c r="N7">
        <v>1013</v>
      </c>
      <c r="O7" t="s">
        <v>297</v>
      </c>
      <c r="P7" t="s">
        <v>297</v>
      </c>
      <c r="Q7">
        <v>1</v>
      </c>
      <c r="X7">
        <v>0.25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6</v>
      </c>
      <c r="AG7">
        <v>0.25</v>
      </c>
      <c r="AH7">
        <v>2</v>
      </c>
      <c r="AI7">
        <v>28315865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>
      <c r="A8">
        <f>ROW(Source!A27)</f>
        <v>27</v>
      </c>
      <c r="B8">
        <v>28315874</v>
      </c>
      <c r="C8">
        <v>28315863</v>
      </c>
      <c r="D8">
        <v>25685899</v>
      </c>
      <c r="E8">
        <v>1</v>
      </c>
      <c r="F8">
        <v>1</v>
      </c>
      <c r="G8">
        <v>1</v>
      </c>
      <c r="H8">
        <v>2</v>
      </c>
      <c r="I8" t="s">
        <v>309</v>
      </c>
      <c r="J8" t="s">
        <v>310</v>
      </c>
      <c r="K8" t="s">
        <v>311</v>
      </c>
      <c r="L8">
        <v>1368</v>
      </c>
      <c r="N8">
        <v>1011</v>
      </c>
      <c r="O8" t="s">
        <v>301</v>
      </c>
      <c r="P8" t="s">
        <v>301</v>
      </c>
      <c r="Q8">
        <v>1</v>
      </c>
      <c r="X8">
        <v>0.15</v>
      </c>
      <c r="Y8">
        <v>0</v>
      </c>
      <c r="Z8">
        <v>31.26</v>
      </c>
      <c r="AA8">
        <v>13.5</v>
      </c>
      <c r="AB8">
        <v>0</v>
      </c>
      <c r="AC8">
        <v>0</v>
      </c>
      <c r="AD8">
        <v>1</v>
      </c>
      <c r="AE8">
        <v>0</v>
      </c>
      <c r="AF8" t="s">
        <v>6</v>
      </c>
      <c r="AG8">
        <v>0.15</v>
      </c>
      <c r="AH8">
        <v>2</v>
      </c>
      <c r="AI8">
        <v>28315866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>
      <c r="A9">
        <f>ROW(Source!A27)</f>
        <v>27</v>
      </c>
      <c r="B9">
        <v>28315875</v>
      </c>
      <c r="C9">
        <v>28315863</v>
      </c>
      <c r="D9">
        <v>25686229</v>
      </c>
      <c r="E9">
        <v>1</v>
      </c>
      <c r="F9">
        <v>1</v>
      </c>
      <c r="G9">
        <v>1</v>
      </c>
      <c r="H9">
        <v>2</v>
      </c>
      <c r="I9" t="s">
        <v>312</v>
      </c>
      <c r="J9" t="s">
        <v>313</v>
      </c>
      <c r="K9" t="s">
        <v>314</v>
      </c>
      <c r="L9">
        <v>1368</v>
      </c>
      <c r="N9">
        <v>1011</v>
      </c>
      <c r="O9" t="s">
        <v>301</v>
      </c>
      <c r="P9" t="s">
        <v>301</v>
      </c>
      <c r="Q9">
        <v>1</v>
      </c>
      <c r="X9">
        <v>0.75</v>
      </c>
      <c r="Y9">
        <v>0</v>
      </c>
      <c r="Z9">
        <v>30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6</v>
      </c>
      <c r="AG9">
        <v>0.75</v>
      </c>
      <c r="AH9">
        <v>2</v>
      </c>
      <c r="AI9">
        <v>28315867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>
      <c r="A10">
        <f>ROW(Source!A27)</f>
        <v>27</v>
      </c>
      <c r="B10">
        <v>28315876</v>
      </c>
      <c r="C10">
        <v>28315863</v>
      </c>
      <c r="D10">
        <v>25687000</v>
      </c>
      <c r="E10">
        <v>1</v>
      </c>
      <c r="F10">
        <v>1</v>
      </c>
      <c r="G10">
        <v>1</v>
      </c>
      <c r="H10">
        <v>2</v>
      </c>
      <c r="I10" t="s">
        <v>315</v>
      </c>
      <c r="J10" t="s">
        <v>316</v>
      </c>
      <c r="K10" t="s">
        <v>317</v>
      </c>
      <c r="L10">
        <v>1368</v>
      </c>
      <c r="N10">
        <v>1011</v>
      </c>
      <c r="O10" t="s">
        <v>301</v>
      </c>
      <c r="P10" t="s">
        <v>301</v>
      </c>
      <c r="Q10">
        <v>1</v>
      </c>
      <c r="X10">
        <v>0.1</v>
      </c>
      <c r="Y10">
        <v>0</v>
      </c>
      <c r="Z10">
        <v>65.709999999999994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6</v>
      </c>
      <c r="AG10">
        <v>0.1</v>
      </c>
      <c r="AH10">
        <v>2</v>
      </c>
      <c r="AI10">
        <v>28315868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>
      <c r="A11">
        <f>ROW(Source!A27)</f>
        <v>27</v>
      </c>
      <c r="B11">
        <v>28315877</v>
      </c>
      <c r="C11">
        <v>28315863</v>
      </c>
      <c r="D11">
        <v>25603142</v>
      </c>
      <c r="E11">
        <v>1</v>
      </c>
      <c r="F11">
        <v>1</v>
      </c>
      <c r="G11">
        <v>1</v>
      </c>
      <c r="H11">
        <v>3</v>
      </c>
      <c r="I11" t="s">
        <v>318</v>
      </c>
      <c r="J11" t="s">
        <v>319</v>
      </c>
      <c r="K11" t="s">
        <v>320</v>
      </c>
      <c r="L11">
        <v>1348</v>
      </c>
      <c r="N11">
        <v>1009</v>
      </c>
      <c r="O11" t="s">
        <v>30</v>
      </c>
      <c r="P11" t="s">
        <v>30</v>
      </c>
      <c r="Q11">
        <v>1000</v>
      </c>
      <c r="X11">
        <v>0.33</v>
      </c>
      <c r="Y11">
        <v>3390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6</v>
      </c>
      <c r="AG11">
        <v>0.33</v>
      </c>
      <c r="AH11">
        <v>2</v>
      </c>
      <c r="AI11">
        <v>28315869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>
      <c r="A12">
        <f>ROW(Source!A27)</f>
        <v>27</v>
      </c>
      <c r="B12">
        <v>28315878</v>
      </c>
      <c r="C12">
        <v>28315863</v>
      </c>
      <c r="D12">
        <v>25602320</v>
      </c>
      <c r="E12">
        <v>17</v>
      </c>
      <c r="F12">
        <v>1</v>
      </c>
      <c r="G12">
        <v>1</v>
      </c>
      <c r="H12">
        <v>3</v>
      </c>
      <c r="I12" t="s">
        <v>28</v>
      </c>
      <c r="J12" t="s">
        <v>6</v>
      </c>
      <c r="K12" t="s">
        <v>29</v>
      </c>
      <c r="L12">
        <v>1348</v>
      </c>
      <c r="N12">
        <v>1009</v>
      </c>
      <c r="O12" t="s">
        <v>30</v>
      </c>
      <c r="P12" t="s">
        <v>30</v>
      </c>
      <c r="Q12">
        <v>1000</v>
      </c>
      <c r="X12">
        <v>0.34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 t="s">
        <v>6</v>
      </c>
      <c r="AG12">
        <v>0.34</v>
      </c>
      <c r="AH12">
        <v>2</v>
      </c>
      <c r="AI12">
        <v>28315870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>
      <c r="A13">
        <f>ROW(Source!A27)</f>
        <v>27</v>
      </c>
      <c r="B13">
        <v>28315879</v>
      </c>
      <c r="C13">
        <v>28315863</v>
      </c>
      <c r="D13">
        <v>25600560</v>
      </c>
      <c r="E13">
        <v>17</v>
      </c>
      <c r="F13">
        <v>1</v>
      </c>
      <c r="G13">
        <v>1</v>
      </c>
      <c r="H13">
        <v>3</v>
      </c>
      <c r="I13" t="s">
        <v>390</v>
      </c>
      <c r="J13" t="s">
        <v>6</v>
      </c>
      <c r="K13" t="s">
        <v>391</v>
      </c>
      <c r="L13">
        <v>1327</v>
      </c>
      <c r="N13">
        <v>1005</v>
      </c>
      <c r="O13" t="s">
        <v>48</v>
      </c>
      <c r="P13" t="s">
        <v>48</v>
      </c>
      <c r="Q13">
        <v>1</v>
      </c>
      <c r="X13">
        <v>115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 t="s">
        <v>6</v>
      </c>
      <c r="AG13">
        <v>115</v>
      </c>
      <c r="AH13">
        <v>3</v>
      </c>
      <c r="AI13">
        <v>-1</v>
      </c>
      <c r="AJ13" t="s">
        <v>6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>
      <c r="A14">
        <f>ROW(Source!A30)</f>
        <v>30</v>
      </c>
      <c r="B14">
        <v>28316110</v>
      </c>
      <c r="C14">
        <v>28316103</v>
      </c>
      <c r="D14">
        <v>25871198</v>
      </c>
      <c r="E14">
        <v>1</v>
      </c>
      <c r="F14">
        <v>1</v>
      </c>
      <c r="G14">
        <v>1</v>
      </c>
      <c r="H14">
        <v>1</v>
      </c>
      <c r="I14" t="s">
        <v>321</v>
      </c>
      <c r="J14" t="s">
        <v>6</v>
      </c>
      <c r="K14" t="s">
        <v>322</v>
      </c>
      <c r="L14">
        <v>1191</v>
      </c>
      <c r="N14">
        <v>1013</v>
      </c>
      <c r="O14" t="s">
        <v>297</v>
      </c>
      <c r="P14" t="s">
        <v>297</v>
      </c>
      <c r="Q14">
        <v>1</v>
      </c>
      <c r="X14">
        <v>18.79</v>
      </c>
      <c r="Y14">
        <v>0</v>
      </c>
      <c r="Z14">
        <v>0</v>
      </c>
      <c r="AA14">
        <v>0</v>
      </c>
      <c r="AB14">
        <v>9.07</v>
      </c>
      <c r="AC14">
        <v>0</v>
      </c>
      <c r="AD14">
        <v>1</v>
      </c>
      <c r="AE14">
        <v>1</v>
      </c>
      <c r="AF14" t="s">
        <v>56</v>
      </c>
      <c r="AG14">
        <v>21.608499999999996</v>
      </c>
      <c r="AH14">
        <v>2</v>
      </c>
      <c r="AI14">
        <v>28316104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>
      <c r="A15">
        <f>ROW(Source!A30)</f>
        <v>30</v>
      </c>
      <c r="B15">
        <v>28316111</v>
      </c>
      <c r="C15">
        <v>28316103</v>
      </c>
      <c r="D15">
        <v>25871146</v>
      </c>
      <c r="E15">
        <v>1</v>
      </c>
      <c r="F15">
        <v>1</v>
      </c>
      <c r="G15">
        <v>1</v>
      </c>
      <c r="H15">
        <v>1</v>
      </c>
      <c r="I15" t="s">
        <v>307</v>
      </c>
      <c r="J15" t="s">
        <v>6</v>
      </c>
      <c r="K15" t="s">
        <v>308</v>
      </c>
      <c r="L15">
        <v>1191</v>
      </c>
      <c r="N15">
        <v>1013</v>
      </c>
      <c r="O15" t="s">
        <v>297</v>
      </c>
      <c r="P15" t="s">
        <v>297</v>
      </c>
      <c r="Q15">
        <v>1</v>
      </c>
      <c r="X15">
        <v>3.77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2</v>
      </c>
      <c r="AF15" t="s">
        <v>55</v>
      </c>
      <c r="AG15">
        <v>4.7125000000000004</v>
      </c>
      <c r="AH15">
        <v>2</v>
      </c>
      <c r="AI15">
        <v>28316105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>
      <c r="A16">
        <f>ROW(Source!A30)</f>
        <v>30</v>
      </c>
      <c r="B16">
        <v>28316112</v>
      </c>
      <c r="C16">
        <v>28316103</v>
      </c>
      <c r="D16">
        <v>25685937</v>
      </c>
      <c r="E16">
        <v>1</v>
      </c>
      <c r="F16">
        <v>1</v>
      </c>
      <c r="G16">
        <v>1</v>
      </c>
      <c r="H16">
        <v>2</v>
      </c>
      <c r="I16" t="s">
        <v>323</v>
      </c>
      <c r="J16" t="s">
        <v>324</v>
      </c>
      <c r="K16" t="s">
        <v>325</v>
      </c>
      <c r="L16">
        <v>1368</v>
      </c>
      <c r="N16">
        <v>1011</v>
      </c>
      <c r="O16" t="s">
        <v>301</v>
      </c>
      <c r="P16" t="s">
        <v>301</v>
      </c>
      <c r="Q16">
        <v>1</v>
      </c>
      <c r="X16">
        <v>8.4600000000000009</v>
      </c>
      <c r="Y16">
        <v>0</v>
      </c>
      <c r="Z16">
        <v>53.87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55</v>
      </c>
      <c r="AG16">
        <v>10.575000000000001</v>
      </c>
      <c r="AH16">
        <v>2</v>
      </c>
      <c r="AI16">
        <v>28316106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>
      <c r="A17">
        <f>ROW(Source!A30)</f>
        <v>30</v>
      </c>
      <c r="B17">
        <v>28316113</v>
      </c>
      <c r="C17">
        <v>28316103</v>
      </c>
      <c r="D17">
        <v>25687000</v>
      </c>
      <c r="E17">
        <v>1</v>
      </c>
      <c r="F17">
        <v>1</v>
      </c>
      <c r="G17">
        <v>1</v>
      </c>
      <c r="H17">
        <v>2</v>
      </c>
      <c r="I17" t="s">
        <v>315</v>
      </c>
      <c r="J17" t="s">
        <v>316</v>
      </c>
      <c r="K17" t="s">
        <v>317</v>
      </c>
      <c r="L17">
        <v>1368</v>
      </c>
      <c r="N17">
        <v>1011</v>
      </c>
      <c r="O17" t="s">
        <v>301</v>
      </c>
      <c r="P17" t="s">
        <v>301</v>
      </c>
      <c r="Q17">
        <v>1</v>
      </c>
      <c r="X17">
        <v>0.1</v>
      </c>
      <c r="Y17">
        <v>0</v>
      </c>
      <c r="Z17">
        <v>65.709999999999994</v>
      </c>
      <c r="AA17">
        <v>11.6</v>
      </c>
      <c r="AB17">
        <v>0</v>
      </c>
      <c r="AC17">
        <v>0</v>
      </c>
      <c r="AD17">
        <v>1</v>
      </c>
      <c r="AE17">
        <v>0</v>
      </c>
      <c r="AF17" t="s">
        <v>55</v>
      </c>
      <c r="AG17">
        <v>0.125</v>
      </c>
      <c r="AH17">
        <v>2</v>
      </c>
      <c r="AI17">
        <v>28316107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>
      <c r="A18">
        <f>ROW(Source!A30)</f>
        <v>30</v>
      </c>
      <c r="B18">
        <v>28316114</v>
      </c>
      <c r="C18">
        <v>28316103</v>
      </c>
      <c r="D18">
        <v>25687362</v>
      </c>
      <c r="E18">
        <v>1</v>
      </c>
      <c r="F18">
        <v>1</v>
      </c>
      <c r="G18">
        <v>1</v>
      </c>
      <c r="H18">
        <v>2</v>
      </c>
      <c r="I18" t="s">
        <v>326</v>
      </c>
      <c r="J18" t="s">
        <v>327</v>
      </c>
      <c r="K18" t="s">
        <v>328</v>
      </c>
      <c r="L18">
        <v>1368</v>
      </c>
      <c r="N18">
        <v>1011</v>
      </c>
      <c r="O18" t="s">
        <v>301</v>
      </c>
      <c r="P18" t="s">
        <v>301</v>
      </c>
      <c r="Q18">
        <v>1</v>
      </c>
      <c r="X18">
        <v>3.67</v>
      </c>
      <c r="Y18">
        <v>0</v>
      </c>
      <c r="Z18">
        <v>90</v>
      </c>
      <c r="AA18">
        <v>10.06</v>
      </c>
      <c r="AB18">
        <v>0</v>
      </c>
      <c r="AC18">
        <v>0</v>
      </c>
      <c r="AD18">
        <v>1</v>
      </c>
      <c r="AE18">
        <v>0</v>
      </c>
      <c r="AF18" t="s">
        <v>55</v>
      </c>
      <c r="AG18">
        <v>4.5875000000000004</v>
      </c>
      <c r="AH18">
        <v>2</v>
      </c>
      <c r="AI18">
        <v>28316108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>
      <c r="A19">
        <f>ROW(Source!A30)</f>
        <v>30</v>
      </c>
      <c r="B19">
        <v>28316115</v>
      </c>
      <c r="C19">
        <v>28316103</v>
      </c>
      <c r="D19">
        <v>25642212</v>
      </c>
      <c r="E19">
        <v>1</v>
      </c>
      <c r="F19">
        <v>1</v>
      </c>
      <c r="G19">
        <v>1</v>
      </c>
      <c r="H19">
        <v>3</v>
      </c>
      <c r="I19" t="s">
        <v>329</v>
      </c>
      <c r="J19" t="s">
        <v>330</v>
      </c>
      <c r="K19" t="s">
        <v>331</v>
      </c>
      <c r="L19">
        <v>1346</v>
      </c>
      <c r="N19">
        <v>1009</v>
      </c>
      <c r="O19" t="s">
        <v>107</v>
      </c>
      <c r="P19" t="s">
        <v>107</v>
      </c>
      <c r="Q19">
        <v>1</v>
      </c>
      <c r="X19">
        <v>20.9</v>
      </c>
      <c r="Y19">
        <v>74.58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6</v>
      </c>
      <c r="AG19">
        <v>20.9</v>
      </c>
      <c r="AH19">
        <v>2</v>
      </c>
      <c r="AI19">
        <v>28316109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>
      <c r="A20">
        <f>ROW(Source!A31)</f>
        <v>31</v>
      </c>
      <c r="B20">
        <v>28315904</v>
      </c>
      <c r="C20">
        <v>28315896</v>
      </c>
      <c r="D20">
        <v>25871248</v>
      </c>
      <c r="E20">
        <v>1</v>
      </c>
      <c r="F20">
        <v>1</v>
      </c>
      <c r="G20">
        <v>1</v>
      </c>
      <c r="H20">
        <v>1</v>
      </c>
      <c r="I20" t="s">
        <v>332</v>
      </c>
      <c r="J20" t="s">
        <v>6</v>
      </c>
      <c r="K20" t="s">
        <v>333</v>
      </c>
      <c r="L20">
        <v>1191</v>
      </c>
      <c r="N20">
        <v>1013</v>
      </c>
      <c r="O20" t="s">
        <v>297</v>
      </c>
      <c r="P20" t="s">
        <v>297</v>
      </c>
      <c r="Q20">
        <v>1</v>
      </c>
      <c r="X20">
        <v>129.9</v>
      </c>
      <c r="Y20">
        <v>0</v>
      </c>
      <c r="Z20">
        <v>0</v>
      </c>
      <c r="AA20">
        <v>0</v>
      </c>
      <c r="AB20">
        <v>8.86</v>
      </c>
      <c r="AC20">
        <v>0</v>
      </c>
      <c r="AD20">
        <v>1</v>
      </c>
      <c r="AE20">
        <v>1</v>
      </c>
      <c r="AF20" t="s">
        <v>6</v>
      </c>
      <c r="AG20">
        <v>129.9</v>
      </c>
      <c r="AH20">
        <v>2</v>
      </c>
      <c r="AI20">
        <v>28315897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>
      <c r="A21">
        <f>ROW(Source!A31)</f>
        <v>31</v>
      </c>
      <c r="B21">
        <v>28315905</v>
      </c>
      <c r="C21">
        <v>28315896</v>
      </c>
      <c r="D21">
        <v>25685803</v>
      </c>
      <c r="E21">
        <v>1</v>
      </c>
      <c r="F21">
        <v>1</v>
      </c>
      <c r="G21">
        <v>1</v>
      </c>
      <c r="H21">
        <v>2</v>
      </c>
      <c r="I21" t="s">
        <v>298</v>
      </c>
      <c r="J21" t="s">
        <v>299</v>
      </c>
      <c r="K21" t="s">
        <v>300</v>
      </c>
      <c r="L21">
        <v>1368</v>
      </c>
      <c r="N21">
        <v>1011</v>
      </c>
      <c r="O21" t="s">
        <v>301</v>
      </c>
      <c r="P21" t="s">
        <v>301</v>
      </c>
      <c r="Q21">
        <v>1</v>
      </c>
      <c r="X21">
        <v>2.1</v>
      </c>
      <c r="Y21">
        <v>0</v>
      </c>
      <c r="Z21">
        <v>1.7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2.1</v>
      </c>
      <c r="AH21">
        <v>2</v>
      </c>
      <c r="AI21">
        <v>28315898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>
      <c r="A22">
        <f>ROW(Source!A31)</f>
        <v>31</v>
      </c>
      <c r="B22">
        <v>28315906</v>
      </c>
      <c r="C22">
        <v>28315896</v>
      </c>
      <c r="D22">
        <v>25687367</v>
      </c>
      <c r="E22">
        <v>1</v>
      </c>
      <c r="F22">
        <v>1</v>
      </c>
      <c r="G22">
        <v>1</v>
      </c>
      <c r="H22">
        <v>2</v>
      </c>
      <c r="I22" t="s">
        <v>334</v>
      </c>
      <c r="J22" t="s">
        <v>335</v>
      </c>
      <c r="K22" t="s">
        <v>336</v>
      </c>
      <c r="L22">
        <v>1368</v>
      </c>
      <c r="N22">
        <v>1011</v>
      </c>
      <c r="O22" t="s">
        <v>301</v>
      </c>
      <c r="P22" t="s">
        <v>301</v>
      </c>
      <c r="Q22">
        <v>1</v>
      </c>
      <c r="X22">
        <v>1.38</v>
      </c>
      <c r="Y22">
        <v>0</v>
      </c>
      <c r="Z22">
        <v>32.5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1.38</v>
      </c>
      <c r="AH22">
        <v>2</v>
      </c>
      <c r="AI22">
        <v>28315899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>
      <c r="A23">
        <f>ROW(Source!A31)</f>
        <v>31</v>
      </c>
      <c r="B23">
        <v>28315907</v>
      </c>
      <c r="C23">
        <v>28315896</v>
      </c>
      <c r="D23">
        <v>25687962</v>
      </c>
      <c r="E23">
        <v>1</v>
      </c>
      <c r="F23">
        <v>1</v>
      </c>
      <c r="G23">
        <v>1</v>
      </c>
      <c r="H23">
        <v>2</v>
      </c>
      <c r="I23" t="s">
        <v>337</v>
      </c>
      <c r="J23" t="s">
        <v>338</v>
      </c>
      <c r="K23" t="s">
        <v>339</v>
      </c>
      <c r="L23">
        <v>1368</v>
      </c>
      <c r="N23">
        <v>1011</v>
      </c>
      <c r="O23" t="s">
        <v>301</v>
      </c>
      <c r="P23" t="s">
        <v>301</v>
      </c>
      <c r="Q23">
        <v>1</v>
      </c>
      <c r="X23">
        <v>1.38</v>
      </c>
      <c r="Y23">
        <v>0</v>
      </c>
      <c r="Z23">
        <v>1.53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6</v>
      </c>
      <c r="AG23">
        <v>1.38</v>
      </c>
      <c r="AH23">
        <v>2</v>
      </c>
      <c r="AI23">
        <v>28315900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>
      <c r="A24">
        <f>ROW(Source!A31)</f>
        <v>31</v>
      </c>
      <c r="B24">
        <v>28315908</v>
      </c>
      <c r="C24">
        <v>28315896</v>
      </c>
      <c r="D24">
        <v>25602320</v>
      </c>
      <c r="E24">
        <v>17</v>
      </c>
      <c r="F24">
        <v>1</v>
      </c>
      <c r="G24">
        <v>1</v>
      </c>
      <c r="H24">
        <v>3</v>
      </c>
      <c r="I24" t="s">
        <v>28</v>
      </c>
      <c r="J24" t="s">
        <v>6</v>
      </c>
      <c r="K24" t="s">
        <v>29</v>
      </c>
      <c r="L24">
        <v>1348</v>
      </c>
      <c r="N24">
        <v>1009</v>
      </c>
      <c r="O24" t="s">
        <v>30</v>
      </c>
      <c r="P24" t="s">
        <v>30</v>
      </c>
      <c r="Q24">
        <v>1000</v>
      </c>
      <c r="X24">
        <v>1.48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 t="s">
        <v>6</v>
      </c>
      <c r="AG24">
        <v>1.48</v>
      </c>
      <c r="AH24">
        <v>2</v>
      </c>
      <c r="AI24">
        <v>28315901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>
      <c r="A25">
        <f>ROW(Source!A31)</f>
        <v>31</v>
      </c>
      <c r="B25">
        <v>28315909</v>
      </c>
      <c r="C25">
        <v>28315896</v>
      </c>
      <c r="D25">
        <v>25599761</v>
      </c>
      <c r="E25">
        <v>17</v>
      </c>
      <c r="F25">
        <v>1</v>
      </c>
      <c r="G25">
        <v>1</v>
      </c>
      <c r="H25">
        <v>3</v>
      </c>
      <c r="I25" t="s">
        <v>392</v>
      </c>
      <c r="J25" t="s">
        <v>6</v>
      </c>
      <c r="K25" t="s">
        <v>393</v>
      </c>
      <c r="L25">
        <v>1348</v>
      </c>
      <c r="N25">
        <v>1009</v>
      </c>
      <c r="O25" t="s">
        <v>30</v>
      </c>
      <c r="P25" t="s">
        <v>30</v>
      </c>
      <c r="Q25">
        <v>1000</v>
      </c>
      <c r="X25">
        <v>2.1000000000000001E-2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 t="s">
        <v>6</v>
      </c>
      <c r="AG25">
        <v>2.1000000000000001E-2</v>
      </c>
      <c r="AH25">
        <v>3</v>
      </c>
      <c r="AI25">
        <v>-1</v>
      </c>
      <c r="AJ25" t="s">
        <v>6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>
      <c r="A26">
        <f>ROW(Source!A31)</f>
        <v>31</v>
      </c>
      <c r="B26">
        <v>28315910</v>
      </c>
      <c r="C26">
        <v>28315896</v>
      </c>
      <c r="D26">
        <v>25601812</v>
      </c>
      <c r="E26">
        <v>17</v>
      </c>
      <c r="F26">
        <v>1</v>
      </c>
      <c r="G26">
        <v>1</v>
      </c>
      <c r="H26">
        <v>3</v>
      </c>
      <c r="I26" t="s">
        <v>394</v>
      </c>
      <c r="J26" t="s">
        <v>6</v>
      </c>
      <c r="K26" t="s">
        <v>395</v>
      </c>
      <c r="L26">
        <v>1339</v>
      </c>
      <c r="N26">
        <v>1007</v>
      </c>
      <c r="O26" t="s">
        <v>73</v>
      </c>
      <c r="P26" t="s">
        <v>73</v>
      </c>
      <c r="Q26">
        <v>1</v>
      </c>
      <c r="X26">
        <v>2.14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6</v>
      </c>
      <c r="AG26">
        <v>2.14</v>
      </c>
      <c r="AH26">
        <v>3</v>
      </c>
      <c r="AI26">
        <v>-1</v>
      </c>
      <c r="AJ26" t="s">
        <v>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>
      <c r="A27">
        <f>ROW(Source!A35)</f>
        <v>35</v>
      </c>
      <c r="B27">
        <v>28315918</v>
      </c>
      <c r="C27">
        <v>28315914</v>
      </c>
      <c r="D27">
        <v>25876472</v>
      </c>
      <c r="E27">
        <v>1</v>
      </c>
      <c r="F27">
        <v>1</v>
      </c>
      <c r="G27">
        <v>1</v>
      </c>
      <c r="H27">
        <v>1</v>
      </c>
      <c r="I27" t="s">
        <v>340</v>
      </c>
      <c r="J27" t="s">
        <v>6</v>
      </c>
      <c r="K27" t="s">
        <v>341</v>
      </c>
      <c r="L27">
        <v>1191</v>
      </c>
      <c r="N27">
        <v>1013</v>
      </c>
      <c r="O27" t="s">
        <v>297</v>
      </c>
      <c r="P27" t="s">
        <v>297</v>
      </c>
      <c r="Q27">
        <v>1</v>
      </c>
      <c r="X27">
        <v>110.64</v>
      </c>
      <c r="Y27">
        <v>0</v>
      </c>
      <c r="Z27">
        <v>0</v>
      </c>
      <c r="AA27">
        <v>0</v>
      </c>
      <c r="AB27">
        <v>9.51</v>
      </c>
      <c r="AC27">
        <v>0</v>
      </c>
      <c r="AD27">
        <v>1</v>
      </c>
      <c r="AE27">
        <v>1</v>
      </c>
      <c r="AF27" t="s">
        <v>6</v>
      </c>
      <c r="AG27">
        <v>110.64</v>
      </c>
      <c r="AH27">
        <v>2</v>
      </c>
      <c r="AI27">
        <v>28315915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>
      <c r="A28">
        <f>ROW(Source!A35)</f>
        <v>35</v>
      </c>
      <c r="B28">
        <v>28315919</v>
      </c>
      <c r="C28">
        <v>28315914</v>
      </c>
      <c r="D28">
        <v>25687367</v>
      </c>
      <c r="E28">
        <v>1</v>
      </c>
      <c r="F28">
        <v>1</v>
      </c>
      <c r="G28">
        <v>1</v>
      </c>
      <c r="H28">
        <v>2</v>
      </c>
      <c r="I28" t="s">
        <v>334</v>
      </c>
      <c r="J28" t="s">
        <v>335</v>
      </c>
      <c r="K28" t="s">
        <v>336</v>
      </c>
      <c r="L28">
        <v>1368</v>
      </c>
      <c r="N28">
        <v>1011</v>
      </c>
      <c r="O28" t="s">
        <v>301</v>
      </c>
      <c r="P28" t="s">
        <v>301</v>
      </c>
      <c r="Q28">
        <v>1</v>
      </c>
      <c r="X28">
        <v>30.57</v>
      </c>
      <c r="Y28">
        <v>0</v>
      </c>
      <c r="Z28">
        <v>32.5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30.57</v>
      </c>
      <c r="AH28">
        <v>2</v>
      </c>
      <c r="AI28">
        <v>28315916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>
      <c r="A29">
        <f>ROW(Source!A35)</f>
        <v>35</v>
      </c>
      <c r="B29">
        <v>28315920</v>
      </c>
      <c r="C29">
        <v>28315914</v>
      </c>
      <c r="D29">
        <v>25687962</v>
      </c>
      <c r="E29">
        <v>1</v>
      </c>
      <c r="F29">
        <v>1</v>
      </c>
      <c r="G29">
        <v>1</v>
      </c>
      <c r="H29">
        <v>2</v>
      </c>
      <c r="I29" t="s">
        <v>337</v>
      </c>
      <c r="J29" t="s">
        <v>338</v>
      </c>
      <c r="K29" t="s">
        <v>339</v>
      </c>
      <c r="L29">
        <v>1368</v>
      </c>
      <c r="N29">
        <v>1011</v>
      </c>
      <c r="O29" t="s">
        <v>301</v>
      </c>
      <c r="P29" t="s">
        <v>301</v>
      </c>
      <c r="Q29">
        <v>1</v>
      </c>
      <c r="X29">
        <v>61.14</v>
      </c>
      <c r="Y29">
        <v>0</v>
      </c>
      <c r="Z29">
        <v>1.53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61.14</v>
      </c>
      <c r="AH29">
        <v>2</v>
      </c>
      <c r="AI29">
        <v>28315917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>
      <c r="A30">
        <f>ROW(Source!A36)</f>
        <v>36</v>
      </c>
      <c r="B30">
        <v>28315930</v>
      </c>
      <c r="C30">
        <v>28315921</v>
      </c>
      <c r="D30">
        <v>25871518</v>
      </c>
      <c r="E30">
        <v>1</v>
      </c>
      <c r="F30">
        <v>1</v>
      </c>
      <c r="G30">
        <v>1</v>
      </c>
      <c r="H30">
        <v>1</v>
      </c>
      <c r="I30" t="s">
        <v>342</v>
      </c>
      <c r="J30" t="s">
        <v>6</v>
      </c>
      <c r="K30" t="s">
        <v>343</v>
      </c>
      <c r="L30">
        <v>1191</v>
      </c>
      <c r="N30">
        <v>1013</v>
      </c>
      <c r="O30" t="s">
        <v>297</v>
      </c>
      <c r="P30" t="s">
        <v>297</v>
      </c>
      <c r="Q30">
        <v>1</v>
      </c>
      <c r="X30">
        <v>2.92</v>
      </c>
      <c r="Y30">
        <v>0</v>
      </c>
      <c r="Z30">
        <v>0</v>
      </c>
      <c r="AA30">
        <v>0</v>
      </c>
      <c r="AB30">
        <v>8.5299999999999994</v>
      </c>
      <c r="AC30">
        <v>0</v>
      </c>
      <c r="AD30">
        <v>1</v>
      </c>
      <c r="AE30">
        <v>1</v>
      </c>
      <c r="AF30" t="s">
        <v>56</v>
      </c>
      <c r="AG30">
        <v>3.3579999999999997</v>
      </c>
      <c r="AH30">
        <v>2</v>
      </c>
      <c r="AI30">
        <v>28315922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>
      <c r="A31">
        <f>ROW(Source!A36)</f>
        <v>36</v>
      </c>
      <c r="B31">
        <v>28315931</v>
      </c>
      <c r="C31">
        <v>28315921</v>
      </c>
      <c r="D31">
        <v>25871146</v>
      </c>
      <c r="E31">
        <v>1</v>
      </c>
      <c r="F31">
        <v>1</v>
      </c>
      <c r="G31">
        <v>1</v>
      </c>
      <c r="H31">
        <v>1</v>
      </c>
      <c r="I31" t="s">
        <v>307</v>
      </c>
      <c r="J31" t="s">
        <v>6</v>
      </c>
      <c r="K31" t="s">
        <v>308</v>
      </c>
      <c r="L31">
        <v>1191</v>
      </c>
      <c r="N31">
        <v>1013</v>
      </c>
      <c r="O31" t="s">
        <v>297</v>
      </c>
      <c r="P31" t="s">
        <v>297</v>
      </c>
      <c r="Q31">
        <v>1</v>
      </c>
      <c r="X31">
        <v>0.01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2</v>
      </c>
      <c r="AF31" t="s">
        <v>55</v>
      </c>
      <c r="AG31">
        <v>1.2500000000000001E-2</v>
      </c>
      <c r="AH31">
        <v>2</v>
      </c>
      <c r="AI31">
        <v>28315923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>
      <c r="A32">
        <f>ROW(Source!A36)</f>
        <v>36</v>
      </c>
      <c r="B32">
        <v>28315932</v>
      </c>
      <c r="C32">
        <v>28315921</v>
      </c>
      <c r="D32">
        <v>25685785</v>
      </c>
      <c r="E32">
        <v>1</v>
      </c>
      <c r="F32">
        <v>1</v>
      </c>
      <c r="G32">
        <v>1</v>
      </c>
      <c r="H32">
        <v>2</v>
      </c>
      <c r="I32" t="s">
        <v>344</v>
      </c>
      <c r="J32" t="s">
        <v>345</v>
      </c>
      <c r="K32" t="s">
        <v>346</v>
      </c>
      <c r="L32">
        <v>1368</v>
      </c>
      <c r="N32">
        <v>1011</v>
      </c>
      <c r="O32" t="s">
        <v>301</v>
      </c>
      <c r="P32" t="s">
        <v>301</v>
      </c>
      <c r="Q32">
        <v>1</v>
      </c>
      <c r="X32">
        <v>0.66</v>
      </c>
      <c r="Y32">
        <v>0</v>
      </c>
      <c r="Z32">
        <v>3.12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55</v>
      </c>
      <c r="AG32">
        <v>0.82500000000000007</v>
      </c>
      <c r="AH32">
        <v>2</v>
      </c>
      <c r="AI32">
        <v>28315924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>
      <c r="A33">
        <f>ROW(Source!A36)</f>
        <v>36</v>
      </c>
      <c r="B33">
        <v>28315933</v>
      </c>
      <c r="C33">
        <v>28315921</v>
      </c>
      <c r="D33">
        <v>25687000</v>
      </c>
      <c r="E33">
        <v>1</v>
      </c>
      <c r="F33">
        <v>1</v>
      </c>
      <c r="G33">
        <v>1</v>
      </c>
      <c r="H33">
        <v>2</v>
      </c>
      <c r="I33" t="s">
        <v>315</v>
      </c>
      <c r="J33" t="s">
        <v>316</v>
      </c>
      <c r="K33" t="s">
        <v>317</v>
      </c>
      <c r="L33">
        <v>1368</v>
      </c>
      <c r="N33">
        <v>1011</v>
      </c>
      <c r="O33" t="s">
        <v>301</v>
      </c>
      <c r="P33" t="s">
        <v>301</v>
      </c>
      <c r="Q33">
        <v>1</v>
      </c>
      <c r="X33">
        <v>0.01</v>
      </c>
      <c r="Y33">
        <v>0</v>
      </c>
      <c r="Z33">
        <v>65.709999999999994</v>
      </c>
      <c r="AA33">
        <v>11.6</v>
      </c>
      <c r="AB33">
        <v>0</v>
      </c>
      <c r="AC33">
        <v>0</v>
      </c>
      <c r="AD33">
        <v>1</v>
      </c>
      <c r="AE33">
        <v>0</v>
      </c>
      <c r="AF33" t="s">
        <v>55</v>
      </c>
      <c r="AG33">
        <v>1.2500000000000001E-2</v>
      </c>
      <c r="AH33">
        <v>2</v>
      </c>
      <c r="AI33">
        <v>28315925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>
      <c r="A34">
        <f>ROW(Source!A36)</f>
        <v>36</v>
      </c>
      <c r="B34">
        <v>28315934</v>
      </c>
      <c r="C34">
        <v>28315921</v>
      </c>
      <c r="D34">
        <v>25602922</v>
      </c>
      <c r="E34">
        <v>1</v>
      </c>
      <c r="F34">
        <v>1</v>
      </c>
      <c r="G34">
        <v>1</v>
      </c>
      <c r="H34">
        <v>3</v>
      </c>
      <c r="I34" t="s">
        <v>347</v>
      </c>
      <c r="J34" t="s">
        <v>348</v>
      </c>
      <c r="K34" t="s">
        <v>349</v>
      </c>
      <c r="L34">
        <v>1348</v>
      </c>
      <c r="N34">
        <v>1009</v>
      </c>
      <c r="O34" t="s">
        <v>30</v>
      </c>
      <c r="P34" t="s">
        <v>30</v>
      </c>
      <c r="Q34">
        <v>1000</v>
      </c>
      <c r="X34">
        <v>5.0000000000000002E-5</v>
      </c>
      <c r="Y34">
        <v>26499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5.0000000000000002E-5</v>
      </c>
      <c r="AH34">
        <v>2</v>
      </c>
      <c r="AI34">
        <v>28315926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>
      <c r="A35">
        <f>ROW(Source!A36)</f>
        <v>36</v>
      </c>
      <c r="B35">
        <v>28315935</v>
      </c>
      <c r="C35">
        <v>28315921</v>
      </c>
      <c r="D35">
        <v>25607693</v>
      </c>
      <c r="E35">
        <v>1</v>
      </c>
      <c r="F35">
        <v>1</v>
      </c>
      <c r="G35">
        <v>1</v>
      </c>
      <c r="H35">
        <v>3</v>
      </c>
      <c r="I35" t="s">
        <v>350</v>
      </c>
      <c r="J35" t="s">
        <v>351</v>
      </c>
      <c r="K35" t="s">
        <v>352</v>
      </c>
      <c r="L35">
        <v>1348</v>
      </c>
      <c r="N35">
        <v>1009</v>
      </c>
      <c r="O35" t="s">
        <v>30</v>
      </c>
      <c r="P35" t="s">
        <v>30</v>
      </c>
      <c r="Q35">
        <v>1000</v>
      </c>
      <c r="X35">
        <v>3.0000000000000001E-5</v>
      </c>
      <c r="Y35">
        <v>9040.01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3.0000000000000001E-5</v>
      </c>
      <c r="AH35">
        <v>2</v>
      </c>
      <c r="AI35">
        <v>28315927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>
      <c r="A36">
        <f>ROW(Source!A36)</f>
        <v>36</v>
      </c>
      <c r="B36">
        <v>28315936</v>
      </c>
      <c r="C36">
        <v>28315921</v>
      </c>
      <c r="D36">
        <v>25608576</v>
      </c>
      <c r="E36">
        <v>1</v>
      </c>
      <c r="F36">
        <v>1</v>
      </c>
      <c r="G36">
        <v>1</v>
      </c>
      <c r="H36">
        <v>3</v>
      </c>
      <c r="I36" t="s">
        <v>353</v>
      </c>
      <c r="J36" t="s">
        <v>354</v>
      </c>
      <c r="K36" t="s">
        <v>355</v>
      </c>
      <c r="L36">
        <v>1346</v>
      </c>
      <c r="N36">
        <v>1009</v>
      </c>
      <c r="O36" t="s">
        <v>107</v>
      </c>
      <c r="P36" t="s">
        <v>107</v>
      </c>
      <c r="Q36">
        <v>1</v>
      </c>
      <c r="X36">
        <v>0.115</v>
      </c>
      <c r="Y36">
        <v>23.09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0.115</v>
      </c>
      <c r="AH36">
        <v>2</v>
      </c>
      <c r="AI36">
        <v>28315928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>
      <c r="A37">
        <f>ROW(Source!A36)</f>
        <v>36</v>
      </c>
      <c r="B37">
        <v>28315937</v>
      </c>
      <c r="C37">
        <v>28315921</v>
      </c>
      <c r="D37">
        <v>25601105</v>
      </c>
      <c r="E37">
        <v>17</v>
      </c>
      <c r="F37">
        <v>1</v>
      </c>
      <c r="G37">
        <v>1</v>
      </c>
      <c r="H37">
        <v>3</v>
      </c>
      <c r="I37" t="s">
        <v>396</v>
      </c>
      <c r="J37" t="s">
        <v>6</v>
      </c>
      <c r="K37" t="s">
        <v>397</v>
      </c>
      <c r="L37">
        <v>1354</v>
      </c>
      <c r="N37">
        <v>1010</v>
      </c>
      <c r="O37" t="s">
        <v>90</v>
      </c>
      <c r="P37" t="s">
        <v>90</v>
      </c>
      <c r="Q37">
        <v>1</v>
      </c>
      <c r="X37">
        <v>0</v>
      </c>
      <c r="Y37">
        <v>0</v>
      </c>
      <c r="Z37">
        <v>0</v>
      </c>
      <c r="AA37">
        <v>0</v>
      </c>
      <c r="AB37">
        <v>0</v>
      </c>
      <c r="AC37">
        <v>1</v>
      </c>
      <c r="AD37">
        <v>0</v>
      </c>
      <c r="AE37">
        <v>0</v>
      </c>
      <c r="AF37" t="s">
        <v>6</v>
      </c>
      <c r="AG37">
        <v>0</v>
      </c>
      <c r="AH37">
        <v>3</v>
      </c>
      <c r="AI37">
        <v>-1</v>
      </c>
      <c r="AJ37" t="s">
        <v>6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>
      <c r="A38">
        <f>ROW(Source!A36)</f>
        <v>36</v>
      </c>
      <c r="B38">
        <v>28315938</v>
      </c>
      <c r="C38">
        <v>28315921</v>
      </c>
      <c r="D38">
        <v>25601110</v>
      </c>
      <c r="E38">
        <v>17</v>
      </c>
      <c r="F38">
        <v>1</v>
      </c>
      <c r="G38">
        <v>1</v>
      </c>
      <c r="H38">
        <v>3</v>
      </c>
      <c r="I38" t="s">
        <v>398</v>
      </c>
      <c r="J38" t="s">
        <v>6</v>
      </c>
      <c r="K38" t="s">
        <v>399</v>
      </c>
      <c r="L38">
        <v>1354</v>
      </c>
      <c r="N38">
        <v>1010</v>
      </c>
      <c r="O38" t="s">
        <v>90</v>
      </c>
      <c r="P38" t="s">
        <v>90</v>
      </c>
      <c r="Q38">
        <v>1</v>
      </c>
      <c r="X38">
        <v>1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 t="s">
        <v>6</v>
      </c>
      <c r="AG38">
        <v>1</v>
      </c>
      <c r="AH38">
        <v>3</v>
      </c>
      <c r="AI38">
        <v>-1</v>
      </c>
      <c r="AJ38" t="s">
        <v>6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>
      <c r="A39">
        <f>ROW(Source!A38)</f>
        <v>38</v>
      </c>
      <c r="B39">
        <v>28315972</v>
      </c>
      <c r="C39">
        <v>28315970</v>
      </c>
      <c r="D39">
        <v>25871518</v>
      </c>
      <c r="E39">
        <v>1</v>
      </c>
      <c r="F39">
        <v>1</v>
      </c>
      <c r="G39">
        <v>1</v>
      </c>
      <c r="H39">
        <v>1</v>
      </c>
      <c r="I39" t="s">
        <v>342</v>
      </c>
      <c r="J39" t="s">
        <v>6</v>
      </c>
      <c r="K39" t="s">
        <v>343</v>
      </c>
      <c r="L39">
        <v>1191</v>
      </c>
      <c r="N39">
        <v>1013</v>
      </c>
      <c r="O39" t="s">
        <v>297</v>
      </c>
      <c r="P39" t="s">
        <v>297</v>
      </c>
      <c r="Q39">
        <v>1</v>
      </c>
      <c r="X39">
        <v>0.1</v>
      </c>
      <c r="Y39">
        <v>0</v>
      </c>
      <c r="Z39">
        <v>0</v>
      </c>
      <c r="AA39">
        <v>0</v>
      </c>
      <c r="AB39">
        <v>8.5299999999999994</v>
      </c>
      <c r="AC39">
        <v>0</v>
      </c>
      <c r="AD39">
        <v>1</v>
      </c>
      <c r="AE39">
        <v>1</v>
      </c>
      <c r="AF39" t="s">
        <v>56</v>
      </c>
      <c r="AG39">
        <v>0.11499999999999999</v>
      </c>
      <c r="AH39">
        <v>2</v>
      </c>
      <c r="AI39">
        <v>28315971</v>
      </c>
      <c r="AJ39">
        <v>38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>
      <c r="A40">
        <f>ROW(Source!A39)</f>
        <v>39</v>
      </c>
      <c r="B40">
        <v>28315986</v>
      </c>
      <c r="C40">
        <v>28315973</v>
      </c>
      <c r="D40">
        <v>25887051</v>
      </c>
      <c r="E40">
        <v>1</v>
      </c>
      <c r="F40">
        <v>1</v>
      </c>
      <c r="G40">
        <v>1</v>
      </c>
      <c r="H40">
        <v>1</v>
      </c>
      <c r="I40" t="s">
        <v>356</v>
      </c>
      <c r="J40" t="s">
        <v>6</v>
      </c>
      <c r="K40" t="s">
        <v>357</v>
      </c>
      <c r="L40">
        <v>1191</v>
      </c>
      <c r="N40">
        <v>1013</v>
      </c>
      <c r="O40" t="s">
        <v>297</v>
      </c>
      <c r="P40" t="s">
        <v>297</v>
      </c>
      <c r="Q40">
        <v>1</v>
      </c>
      <c r="X40">
        <v>32.03</v>
      </c>
      <c r="Y40">
        <v>0</v>
      </c>
      <c r="Z40">
        <v>0</v>
      </c>
      <c r="AA40">
        <v>0</v>
      </c>
      <c r="AB40">
        <v>9.92</v>
      </c>
      <c r="AC40">
        <v>0</v>
      </c>
      <c r="AD40">
        <v>1</v>
      </c>
      <c r="AE40">
        <v>1</v>
      </c>
      <c r="AF40" t="s">
        <v>56</v>
      </c>
      <c r="AG40">
        <v>36.834499999999998</v>
      </c>
      <c r="AH40">
        <v>2</v>
      </c>
      <c r="AI40">
        <v>28315974</v>
      </c>
      <c r="AJ40">
        <v>39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>
      <c r="A41">
        <f>ROW(Source!A39)</f>
        <v>39</v>
      </c>
      <c r="B41">
        <v>28315987</v>
      </c>
      <c r="C41">
        <v>28315973</v>
      </c>
      <c r="D41">
        <v>25871146</v>
      </c>
      <c r="E41">
        <v>1</v>
      </c>
      <c r="F41">
        <v>1</v>
      </c>
      <c r="G41">
        <v>1</v>
      </c>
      <c r="H41">
        <v>1</v>
      </c>
      <c r="I41" t="s">
        <v>307</v>
      </c>
      <c r="J41" t="s">
        <v>6</v>
      </c>
      <c r="K41" t="s">
        <v>308</v>
      </c>
      <c r="L41">
        <v>1191</v>
      </c>
      <c r="N41">
        <v>1013</v>
      </c>
      <c r="O41" t="s">
        <v>297</v>
      </c>
      <c r="P41" t="s">
        <v>297</v>
      </c>
      <c r="Q41">
        <v>1</v>
      </c>
      <c r="X41">
        <v>0.34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2</v>
      </c>
      <c r="AF41" t="s">
        <v>55</v>
      </c>
      <c r="AG41">
        <v>0.42500000000000004</v>
      </c>
      <c r="AH41">
        <v>2</v>
      </c>
      <c r="AI41">
        <v>28315975</v>
      </c>
      <c r="AJ41">
        <v>40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>
      <c r="A42">
        <f>ROW(Source!A39)</f>
        <v>39</v>
      </c>
      <c r="B42">
        <v>28315988</v>
      </c>
      <c r="C42">
        <v>28315973</v>
      </c>
      <c r="D42">
        <v>25687000</v>
      </c>
      <c r="E42">
        <v>1</v>
      </c>
      <c r="F42">
        <v>1</v>
      </c>
      <c r="G42">
        <v>1</v>
      </c>
      <c r="H42">
        <v>2</v>
      </c>
      <c r="I42" t="s">
        <v>315</v>
      </c>
      <c r="J42" t="s">
        <v>316</v>
      </c>
      <c r="K42" t="s">
        <v>317</v>
      </c>
      <c r="L42">
        <v>1368</v>
      </c>
      <c r="N42">
        <v>1011</v>
      </c>
      <c r="O42" t="s">
        <v>301</v>
      </c>
      <c r="P42" t="s">
        <v>301</v>
      </c>
      <c r="Q42">
        <v>1</v>
      </c>
      <c r="X42">
        <v>0.34</v>
      </c>
      <c r="Y42">
        <v>0</v>
      </c>
      <c r="Z42">
        <v>65.709999999999994</v>
      </c>
      <c r="AA42">
        <v>11.6</v>
      </c>
      <c r="AB42">
        <v>0</v>
      </c>
      <c r="AC42">
        <v>0</v>
      </c>
      <c r="AD42">
        <v>1</v>
      </c>
      <c r="AE42">
        <v>0</v>
      </c>
      <c r="AF42" t="s">
        <v>55</v>
      </c>
      <c r="AG42">
        <v>0.42500000000000004</v>
      </c>
      <c r="AH42">
        <v>2</v>
      </c>
      <c r="AI42">
        <v>28315976</v>
      </c>
      <c r="AJ42">
        <v>41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>
      <c r="A43">
        <f>ROW(Source!A39)</f>
        <v>39</v>
      </c>
      <c r="B43">
        <v>28315989</v>
      </c>
      <c r="C43">
        <v>28315973</v>
      </c>
      <c r="D43">
        <v>25688208</v>
      </c>
      <c r="E43">
        <v>1</v>
      </c>
      <c r="F43">
        <v>1</v>
      </c>
      <c r="G43">
        <v>1</v>
      </c>
      <c r="H43">
        <v>2</v>
      </c>
      <c r="I43" t="s">
        <v>358</v>
      </c>
      <c r="J43" t="s">
        <v>359</v>
      </c>
      <c r="K43" t="s">
        <v>360</v>
      </c>
      <c r="L43">
        <v>1368</v>
      </c>
      <c r="N43">
        <v>1011</v>
      </c>
      <c r="O43" t="s">
        <v>301</v>
      </c>
      <c r="P43" t="s">
        <v>301</v>
      </c>
      <c r="Q43">
        <v>1</v>
      </c>
      <c r="X43">
        <v>8.02</v>
      </c>
      <c r="Y43">
        <v>0</v>
      </c>
      <c r="Z43">
        <v>35.61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55</v>
      </c>
      <c r="AG43">
        <v>10.024999999999999</v>
      </c>
      <c r="AH43">
        <v>2</v>
      </c>
      <c r="AI43">
        <v>28315977</v>
      </c>
      <c r="AJ43">
        <v>42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>
      <c r="A44">
        <f>ROW(Source!A39)</f>
        <v>39</v>
      </c>
      <c r="B44">
        <v>28315990</v>
      </c>
      <c r="C44">
        <v>28315973</v>
      </c>
      <c r="D44">
        <v>25605318</v>
      </c>
      <c r="E44">
        <v>1</v>
      </c>
      <c r="F44">
        <v>1</v>
      </c>
      <c r="G44">
        <v>1</v>
      </c>
      <c r="H44">
        <v>3</v>
      </c>
      <c r="I44" t="s">
        <v>361</v>
      </c>
      <c r="J44" t="s">
        <v>362</v>
      </c>
      <c r="K44" t="s">
        <v>363</v>
      </c>
      <c r="L44">
        <v>1346</v>
      </c>
      <c r="N44">
        <v>1009</v>
      </c>
      <c r="O44" t="s">
        <v>107</v>
      </c>
      <c r="P44" t="s">
        <v>107</v>
      </c>
      <c r="Q44">
        <v>1</v>
      </c>
      <c r="X44">
        <v>0.52600000000000002</v>
      </c>
      <c r="Y44">
        <v>112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0.52600000000000002</v>
      </c>
      <c r="AH44">
        <v>2</v>
      </c>
      <c r="AI44">
        <v>28315978</v>
      </c>
      <c r="AJ44">
        <v>43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>
      <c r="A45">
        <f>ROW(Source!A39)</f>
        <v>39</v>
      </c>
      <c r="B45">
        <v>28315991</v>
      </c>
      <c r="C45">
        <v>28315973</v>
      </c>
      <c r="D45">
        <v>25605550</v>
      </c>
      <c r="E45">
        <v>1</v>
      </c>
      <c r="F45">
        <v>1</v>
      </c>
      <c r="G45">
        <v>1</v>
      </c>
      <c r="H45">
        <v>3</v>
      </c>
      <c r="I45" t="s">
        <v>364</v>
      </c>
      <c r="J45" t="s">
        <v>365</v>
      </c>
      <c r="K45" t="s">
        <v>366</v>
      </c>
      <c r="L45">
        <v>1327</v>
      </c>
      <c r="N45">
        <v>1005</v>
      </c>
      <c r="O45" t="s">
        <v>48</v>
      </c>
      <c r="P45" t="s">
        <v>48</v>
      </c>
      <c r="Q45">
        <v>1</v>
      </c>
      <c r="X45">
        <v>3</v>
      </c>
      <c r="Y45">
        <v>3.62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3</v>
      </c>
      <c r="AH45">
        <v>2</v>
      </c>
      <c r="AI45">
        <v>28315979</v>
      </c>
      <c r="AJ45">
        <v>44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>
      <c r="A46">
        <f>ROW(Source!A39)</f>
        <v>39</v>
      </c>
      <c r="B46">
        <v>28315992</v>
      </c>
      <c r="C46">
        <v>28315973</v>
      </c>
      <c r="D46">
        <v>25628887</v>
      </c>
      <c r="E46">
        <v>1</v>
      </c>
      <c r="F46">
        <v>1</v>
      </c>
      <c r="G46">
        <v>1</v>
      </c>
      <c r="H46">
        <v>3</v>
      </c>
      <c r="I46" t="s">
        <v>367</v>
      </c>
      <c r="J46" t="s">
        <v>368</v>
      </c>
      <c r="K46" t="s">
        <v>369</v>
      </c>
      <c r="L46">
        <v>1346</v>
      </c>
      <c r="N46">
        <v>1009</v>
      </c>
      <c r="O46" t="s">
        <v>107</v>
      </c>
      <c r="P46" t="s">
        <v>107</v>
      </c>
      <c r="Q46">
        <v>1</v>
      </c>
      <c r="X46">
        <v>4.0000000000000002E-4</v>
      </c>
      <c r="Y46">
        <v>8.94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4.0000000000000002E-4</v>
      </c>
      <c r="AH46">
        <v>2</v>
      </c>
      <c r="AI46">
        <v>28315980</v>
      </c>
      <c r="AJ46">
        <v>45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>
      <c r="A47">
        <f>ROW(Source!A39)</f>
        <v>39</v>
      </c>
      <c r="B47">
        <v>28315993</v>
      </c>
      <c r="C47">
        <v>28315973</v>
      </c>
      <c r="D47">
        <v>25636642</v>
      </c>
      <c r="E47">
        <v>1</v>
      </c>
      <c r="F47">
        <v>1</v>
      </c>
      <c r="G47">
        <v>1</v>
      </c>
      <c r="H47">
        <v>3</v>
      </c>
      <c r="I47" t="s">
        <v>105</v>
      </c>
      <c r="J47" t="s">
        <v>108</v>
      </c>
      <c r="K47" t="s">
        <v>106</v>
      </c>
      <c r="L47">
        <v>1346</v>
      </c>
      <c r="N47">
        <v>1009</v>
      </c>
      <c r="O47" t="s">
        <v>107</v>
      </c>
      <c r="P47" t="s">
        <v>107</v>
      </c>
      <c r="Q47">
        <v>1</v>
      </c>
      <c r="X47">
        <v>42.84</v>
      </c>
      <c r="Y47">
        <v>58.1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42.84</v>
      </c>
      <c r="AH47">
        <v>2</v>
      </c>
      <c r="AI47">
        <v>28315981</v>
      </c>
      <c r="AJ47">
        <v>46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>
      <c r="A48">
        <f>ROW(Source!A39)</f>
        <v>39</v>
      </c>
      <c r="B48">
        <v>28315994</v>
      </c>
      <c r="C48">
        <v>28315973</v>
      </c>
      <c r="D48">
        <v>25636644</v>
      </c>
      <c r="E48">
        <v>1</v>
      </c>
      <c r="F48">
        <v>1</v>
      </c>
      <c r="G48">
        <v>1</v>
      </c>
      <c r="H48">
        <v>3</v>
      </c>
      <c r="I48" t="s">
        <v>110</v>
      </c>
      <c r="J48" t="s">
        <v>112</v>
      </c>
      <c r="K48" t="s">
        <v>111</v>
      </c>
      <c r="L48">
        <v>1346</v>
      </c>
      <c r="N48">
        <v>1009</v>
      </c>
      <c r="O48" t="s">
        <v>107</v>
      </c>
      <c r="P48" t="s">
        <v>107</v>
      </c>
      <c r="Q48">
        <v>1</v>
      </c>
      <c r="X48">
        <v>41.16</v>
      </c>
      <c r="Y48">
        <v>51.8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41.16</v>
      </c>
      <c r="AH48">
        <v>2</v>
      </c>
      <c r="AI48">
        <v>28315982</v>
      </c>
      <c r="AJ48">
        <v>47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>
      <c r="A49">
        <f>ROW(Source!A39)</f>
        <v>39</v>
      </c>
      <c r="B49">
        <v>28315995</v>
      </c>
      <c r="C49">
        <v>28315973</v>
      </c>
      <c r="D49">
        <v>25636776</v>
      </c>
      <c r="E49">
        <v>1</v>
      </c>
      <c r="F49">
        <v>1</v>
      </c>
      <c r="G49">
        <v>1</v>
      </c>
      <c r="H49">
        <v>3</v>
      </c>
      <c r="I49" t="s">
        <v>370</v>
      </c>
      <c r="J49" t="s">
        <v>371</v>
      </c>
      <c r="K49" t="s">
        <v>372</v>
      </c>
      <c r="L49">
        <v>1346</v>
      </c>
      <c r="N49">
        <v>1009</v>
      </c>
      <c r="O49" t="s">
        <v>107</v>
      </c>
      <c r="P49" t="s">
        <v>107</v>
      </c>
      <c r="Q49">
        <v>1</v>
      </c>
      <c r="X49">
        <v>5</v>
      </c>
      <c r="Y49">
        <v>18.399999999999999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5</v>
      </c>
      <c r="AH49">
        <v>2</v>
      </c>
      <c r="AI49">
        <v>28315983</v>
      </c>
      <c r="AJ49">
        <v>48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>
      <c r="A50">
        <f>ROW(Source!A39)</f>
        <v>39</v>
      </c>
      <c r="B50">
        <v>28315996</v>
      </c>
      <c r="C50">
        <v>28315973</v>
      </c>
      <c r="D50">
        <v>25636780</v>
      </c>
      <c r="E50">
        <v>1</v>
      </c>
      <c r="F50">
        <v>1</v>
      </c>
      <c r="G50">
        <v>1</v>
      </c>
      <c r="H50">
        <v>3</v>
      </c>
      <c r="I50" t="s">
        <v>373</v>
      </c>
      <c r="J50" t="s">
        <v>374</v>
      </c>
      <c r="K50" t="s">
        <v>375</v>
      </c>
      <c r="L50">
        <v>1346</v>
      </c>
      <c r="N50">
        <v>1009</v>
      </c>
      <c r="O50" t="s">
        <v>107</v>
      </c>
      <c r="P50" t="s">
        <v>107</v>
      </c>
      <c r="Q50">
        <v>1</v>
      </c>
      <c r="X50">
        <v>3</v>
      </c>
      <c r="Y50">
        <v>65.3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3</v>
      </c>
      <c r="AH50">
        <v>2</v>
      </c>
      <c r="AI50">
        <v>28315984</v>
      </c>
      <c r="AJ50">
        <v>49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>
      <c r="A51">
        <f>ROW(Source!A43)</f>
        <v>43</v>
      </c>
      <c r="B51">
        <v>28316013</v>
      </c>
      <c r="C51">
        <v>28316000</v>
      </c>
      <c r="D51">
        <v>25887051</v>
      </c>
      <c r="E51">
        <v>1</v>
      </c>
      <c r="F51">
        <v>1</v>
      </c>
      <c r="G51">
        <v>1</v>
      </c>
      <c r="H51">
        <v>1</v>
      </c>
      <c r="I51" t="s">
        <v>356</v>
      </c>
      <c r="J51" t="s">
        <v>6</v>
      </c>
      <c r="K51" t="s">
        <v>357</v>
      </c>
      <c r="L51">
        <v>1191</v>
      </c>
      <c r="N51">
        <v>1013</v>
      </c>
      <c r="O51" t="s">
        <v>297</v>
      </c>
      <c r="P51" t="s">
        <v>297</v>
      </c>
      <c r="Q51">
        <v>1</v>
      </c>
      <c r="X51">
        <v>32.03</v>
      </c>
      <c r="Y51">
        <v>0</v>
      </c>
      <c r="Z51">
        <v>0</v>
      </c>
      <c r="AA51">
        <v>0</v>
      </c>
      <c r="AB51">
        <v>9.92</v>
      </c>
      <c r="AC51">
        <v>0</v>
      </c>
      <c r="AD51">
        <v>1</v>
      </c>
      <c r="AE51">
        <v>1</v>
      </c>
      <c r="AF51" t="s">
        <v>56</v>
      </c>
      <c r="AG51">
        <v>36.834499999999998</v>
      </c>
      <c r="AH51">
        <v>2</v>
      </c>
      <c r="AI51">
        <v>28316001</v>
      </c>
      <c r="AJ51">
        <v>51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>
      <c r="A52">
        <f>ROW(Source!A43)</f>
        <v>43</v>
      </c>
      <c r="B52">
        <v>28316014</v>
      </c>
      <c r="C52">
        <v>28316000</v>
      </c>
      <c r="D52">
        <v>25871146</v>
      </c>
      <c r="E52">
        <v>1</v>
      </c>
      <c r="F52">
        <v>1</v>
      </c>
      <c r="G52">
        <v>1</v>
      </c>
      <c r="H52">
        <v>1</v>
      </c>
      <c r="I52" t="s">
        <v>307</v>
      </c>
      <c r="J52" t="s">
        <v>6</v>
      </c>
      <c r="K52" t="s">
        <v>308</v>
      </c>
      <c r="L52">
        <v>1191</v>
      </c>
      <c r="N52">
        <v>1013</v>
      </c>
      <c r="O52" t="s">
        <v>297</v>
      </c>
      <c r="P52" t="s">
        <v>297</v>
      </c>
      <c r="Q52">
        <v>1</v>
      </c>
      <c r="X52">
        <v>0.34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2</v>
      </c>
      <c r="AF52" t="s">
        <v>55</v>
      </c>
      <c r="AG52">
        <v>0.42500000000000004</v>
      </c>
      <c r="AH52">
        <v>2</v>
      </c>
      <c r="AI52">
        <v>28316002</v>
      </c>
      <c r="AJ52">
        <v>52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>
      <c r="A53">
        <f>ROW(Source!A43)</f>
        <v>43</v>
      </c>
      <c r="B53">
        <v>28316015</v>
      </c>
      <c r="C53">
        <v>28316000</v>
      </c>
      <c r="D53">
        <v>25687000</v>
      </c>
      <c r="E53">
        <v>1</v>
      </c>
      <c r="F53">
        <v>1</v>
      </c>
      <c r="G53">
        <v>1</v>
      </c>
      <c r="H53">
        <v>2</v>
      </c>
      <c r="I53" t="s">
        <v>315</v>
      </c>
      <c r="J53" t="s">
        <v>316</v>
      </c>
      <c r="K53" t="s">
        <v>317</v>
      </c>
      <c r="L53">
        <v>1368</v>
      </c>
      <c r="N53">
        <v>1011</v>
      </c>
      <c r="O53" t="s">
        <v>301</v>
      </c>
      <c r="P53" t="s">
        <v>301</v>
      </c>
      <c r="Q53">
        <v>1</v>
      </c>
      <c r="X53">
        <v>0.34</v>
      </c>
      <c r="Y53">
        <v>0</v>
      </c>
      <c r="Z53">
        <v>65.709999999999994</v>
      </c>
      <c r="AA53">
        <v>11.6</v>
      </c>
      <c r="AB53">
        <v>0</v>
      </c>
      <c r="AC53">
        <v>0</v>
      </c>
      <c r="AD53">
        <v>1</v>
      </c>
      <c r="AE53">
        <v>0</v>
      </c>
      <c r="AF53" t="s">
        <v>55</v>
      </c>
      <c r="AG53">
        <v>0.42500000000000004</v>
      </c>
      <c r="AH53">
        <v>2</v>
      </c>
      <c r="AI53">
        <v>28316003</v>
      </c>
      <c r="AJ53">
        <v>53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>
      <c r="A54">
        <f>ROW(Source!A43)</f>
        <v>43</v>
      </c>
      <c r="B54">
        <v>28316016</v>
      </c>
      <c r="C54">
        <v>28316000</v>
      </c>
      <c r="D54">
        <v>25688208</v>
      </c>
      <c r="E54">
        <v>1</v>
      </c>
      <c r="F54">
        <v>1</v>
      </c>
      <c r="G54">
        <v>1</v>
      </c>
      <c r="H54">
        <v>2</v>
      </c>
      <c r="I54" t="s">
        <v>358</v>
      </c>
      <c r="J54" t="s">
        <v>359</v>
      </c>
      <c r="K54" t="s">
        <v>360</v>
      </c>
      <c r="L54">
        <v>1368</v>
      </c>
      <c r="N54">
        <v>1011</v>
      </c>
      <c r="O54" t="s">
        <v>301</v>
      </c>
      <c r="P54" t="s">
        <v>301</v>
      </c>
      <c r="Q54">
        <v>1</v>
      </c>
      <c r="X54">
        <v>8.02</v>
      </c>
      <c r="Y54">
        <v>0</v>
      </c>
      <c r="Z54">
        <v>35.61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55</v>
      </c>
      <c r="AG54">
        <v>10.024999999999999</v>
      </c>
      <c r="AH54">
        <v>2</v>
      </c>
      <c r="AI54">
        <v>28316004</v>
      </c>
      <c r="AJ54">
        <v>54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>
      <c r="A55">
        <f>ROW(Source!A43)</f>
        <v>43</v>
      </c>
      <c r="B55">
        <v>28316017</v>
      </c>
      <c r="C55">
        <v>28316000</v>
      </c>
      <c r="D55">
        <v>25605318</v>
      </c>
      <c r="E55">
        <v>1</v>
      </c>
      <c r="F55">
        <v>1</v>
      </c>
      <c r="G55">
        <v>1</v>
      </c>
      <c r="H55">
        <v>3</v>
      </c>
      <c r="I55" t="s">
        <v>361</v>
      </c>
      <c r="J55" t="s">
        <v>362</v>
      </c>
      <c r="K55" t="s">
        <v>363</v>
      </c>
      <c r="L55">
        <v>1346</v>
      </c>
      <c r="N55">
        <v>1009</v>
      </c>
      <c r="O55" t="s">
        <v>107</v>
      </c>
      <c r="P55" t="s">
        <v>107</v>
      </c>
      <c r="Q55">
        <v>1</v>
      </c>
      <c r="X55">
        <v>0.52600000000000002</v>
      </c>
      <c r="Y55">
        <v>112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0.52600000000000002</v>
      </c>
      <c r="AH55">
        <v>2</v>
      </c>
      <c r="AI55">
        <v>28316005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>
      <c r="A56">
        <f>ROW(Source!A43)</f>
        <v>43</v>
      </c>
      <c r="B56">
        <v>28316018</v>
      </c>
      <c r="C56">
        <v>28316000</v>
      </c>
      <c r="D56">
        <v>25605550</v>
      </c>
      <c r="E56">
        <v>1</v>
      </c>
      <c r="F56">
        <v>1</v>
      </c>
      <c r="G56">
        <v>1</v>
      </c>
      <c r="H56">
        <v>3</v>
      </c>
      <c r="I56" t="s">
        <v>364</v>
      </c>
      <c r="J56" t="s">
        <v>365</v>
      </c>
      <c r="K56" t="s">
        <v>366</v>
      </c>
      <c r="L56">
        <v>1327</v>
      </c>
      <c r="N56">
        <v>1005</v>
      </c>
      <c r="O56" t="s">
        <v>48</v>
      </c>
      <c r="P56" t="s">
        <v>48</v>
      </c>
      <c r="Q56">
        <v>1</v>
      </c>
      <c r="X56">
        <v>3</v>
      </c>
      <c r="Y56">
        <v>3.62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3</v>
      </c>
      <c r="AH56">
        <v>2</v>
      </c>
      <c r="AI56">
        <v>28316006</v>
      </c>
      <c r="AJ56">
        <v>56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>
      <c r="A57">
        <f>ROW(Source!A43)</f>
        <v>43</v>
      </c>
      <c r="B57">
        <v>28316019</v>
      </c>
      <c r="C57">
        <v>28316000</v>
      </c>
      <c r="D57">
        <v>25628887</v>
      </c>
      <c r="E57">
        <v>1</v>
      </c>
      <c r="F57">
        <v>1</v>
      </c>
      <c r="G57">
        <v>1</v>
      </c>
      <c r="H57">
        <v>3</v>
      </c>
      <c r="I57" t="s">
        <v>367</v>
      </c>
      <c r="J57" t="s">
        <v>368</v>
      </c>
      <c r="K57" t="s">
        <v>369</v>
      </c>
      <c r="L57">
        <v>1346</v>
      </c>
      <c r="N57">
        <v>1009</v>
      </c>
      <c r="O57" t="s">
        <v>107</v>
      </c>
      <c r="P57" t="s">
        <v>107</v>
      </c>
      <c r="Q57">
        <v>1</v>
      </c>
      <c r="X57">
        <v>4.0000000000000002E-4</v>
      </c>
      <c r="Y57">
        <v>8.94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6</v>
      </c>
      <c r="AG57">
        <v>4.0000000000000002E-4</v>
      </c>
      <c r="AH57">
        <v>2</v>
      </c>
      <c r="AI57">
        <v>28316007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>
      <c r="A58">
        <f>ROW(Source!A43)</f>
        <v>43</v>
      </c>
      <c r="B58">
        <v>28316020</v>
      </c>
      <c r="C58">
        <v>28316000</v>
      </c>
      <c r="D58">
        <v>25636642</v>
      </c>
      <c r="E58">
        <v>1</v>
      </c>
      <c r="F58">
        <v>1</v>
      </c>
      <c r="G58">
        <v>1</v>
      </c>
      <c r="H58">
        <v>3</v>
      </c>
      <c r="I58" t="s">
        <v>105</v>
      </c>
      <c r="J58" t="s">
        <v>108</v>
      </c>
      <c r="K58" t="s">
        <v>106</v>
      </c>
      <c r="L58">
        <v>1346</v>
      </c>
      <c r="N58">
        <v>1009</v>
      </c>
      <c r="O58" t="s">
        <v>107</v>
      </c>
      <c r="P58" t="s">
        <v>107</v>
      </c>
      <c r="Q58">
        <v>1</v>
      </c>
      <c r="X58">
        <v>42.84</v>
      </c>
      <c r="Y58">
        <v>58.1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6</v>
      </c>
      <c r="AG58">
        <v>42.84</v>
      </c>
      <c r="AH58">
        <v>2</v>
      </c>
      <c r="AI58">
        <v>28316008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>
      <c r="A59">
        <f>ROW(Source!A43)</f>
        <v>43</v>
      </c>
      <c r="B59">
        <v>28316021</v>
      </c>
      <c r="C59">
        <v>28316000</v>
      </c>
      <c r="D59">
        <v>25636644</v>
      </c>
      <c r="E59">
        <v>1</v>
      </c>
      <c r="F59">
        <v>1</v>
      </c>
      <c r="G59">
        <v>1</v>
      </c>
      <c r="H59">
        <v>3</v>
      </c>
      <c r="I59" t="s">
        <v>110</v>
      </c>
      <c r="J59" t="s">
        <v>112</v>
      </c>
      <c r="K59" t="s">
        <v>111</v>
      </c>
      <c r="L59">
        <v>1346</v>
      </c>
      <c r="N59">
        <v>1009</v>
      </c>
      <c r="O59" t="s">
        <v>107</v>
      </c>
      <c r="P59" t="s">
        <v>107</v>
      </c>
      <c r="Q59">
        <v>1</v>
      </c>
      <c r="X59">
        <v>41.16</v>
      </c>
      <c r="Y59">
        <v>51.8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6</v>
      </c>
      <c r="AG59">
        <v>41.16</v>
      </c>
      <c r="AH59">
        <v>2</v>
      </c>
      <c r="AI59">
        <v>28316009</v>
      </c>
      <c r="AJ59">
        <v>59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>
      <c r="A60">
        <f>ROW(Source!A43)</f>
        <v>43</v>
      </c>
      <c r="B60">
        <v>28316022</v>
      </c>
      <c r="C60">
        <v>28316000</v>
      </c>
      <c r="D60">
        <v>25636776</v>
      </c>
      <c r="E60">
        <v>1</v>
      </c>
      <c r="F60">
        <v>1</v>
      </c>
      <c r="G60">
        <v>1</v>
      </c>
      <c r="H60">
        <v>3</v>
      </c>
      <c r="I60" t="s">
        <v>370</v>
      </c>
      <c r="J60" t="s">
        <v>371</v>
      </c>
      <c r="K60" t="s">
        <v>372</v>
      </c>
      <c r="L60">
        <v>1346</v>
      </c>
      <c r="N60">
        <v>1009</v>
      </c>
      <c r="O60" t="s">
        <v>107</v>
      </c>
      <c r="P60" t="s">
        <v>107</v>
      </c>
      <c r="Q60">
        <v>1</v>
      </c>
      <c r="X60">
        <v>5</v>
      </c>
      <c r="Y60">
        <v>18.399999999999999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5</v>
      </c>
      <c r="AH60">
        <v>2</v>
      </c>
      <c r="AI60">
        <v>28316010</v>
      </c>
      <c r="AJ60">
        <v>60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>
      <c r="A61">
        <f>ROW(Source!A43)</f>
        <v>43</v>
      </c>
      <c r="B61">
        <v>28316023</v>
      </c>
      <c r="C61">
        <v>28316000</v>
      </c>
      <c r="D61">
        <v>25636780</v>
      </c>
      <c r="E61">
        <v>1</v>
      </c>
      <c r="F61">
        <v>1</v>
      </c>
      <c r="G61">
        <v>1</v>
      </c>
      <c r="H61">
        <v>3</v>
      </c>
      <c r="I61" t="s">
        <v>373</v>
      </c>
      <c r="J61" t="s">
        <v>374</v>
      </c>
      <c r="K61" t="s">
        <v>375</v>
      </c>
      <c r="L61">
        <v>1346</v>
      </c>
      <c r="N61">
        <v>1009</v>
      </c>
      <c r="O61" t="s">
        <v>107</v>
      </c>
      <c r="P61" t="s">
        <v>107</v>
      </c>
      <c r="Q61">
        <v>1</v>
      </c>
      <c r="X61">
        <v>3</v>
      </c>
      <c r="Y61">
        <v>65.3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3</v>
      </c>
      <c r="AH61">
        <v>2</v>
      </c>
      <c r="AI61">
        <v>28316011</v>
      </c>
      <c r="AJ61">
        <v>61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>
      <c r="A62">
        <f>ROW(Source!A47)</f>
        <v>47</v>
      </c>
      <c r="B62">
        <v>28316040</v>
      </c>
      <c r="C62">
        <v>28316027</v>
      </c>
      <c r="D62">
        <v>25887051</v>
      </c>
      <c r="E62">
        <v>1</v>
      </c>
      <c r="F62">
        <v>1</v>
      </c>
      <c r="G62">
        <v>1</v>
      </c>
      <c r="H62">
        <v>1</v>
      </c>
      <c r="I62" t="s">
        <v>356</v>
      </c>
      <c r="J62" t="s">
        <v>6</v>
      </c>
      <c r="K62" t="s">
        <v>357</v>
      </c>
      <c r="L62">
        <v>1191</v>
      </c>
      <c r="N62">
        <v>1013</v>
      </c>
      <c r="O62" t="s">
        <v>297</v>
      </c>
      <c r="P62" t="s">
        <v>297</v>
      </c>
      <c r="Q62">
        <v>1</v>
      </c>
      <c r="X62">
        <v>32.03</v>
      </c>
      <c r="Y62">
        <v>0</v>
      </c>
      <c r="Z62">
        <v>0</v>
      </c>
      <c r="AA62">
        <v>0</v>
      </c>
      <c r="AB62">
        <v>9.92</v>
      </c>
      <c r="AC62">
        <v>0</v>
      </c>
      <c r="AD62">
        <v>1</v>
      </c>
      <c r="AE62">
        <v>1</v>
      </c>
      <c r="AF62" t="s">
        <v>56</v>
      </c>
      <c r="AG62">
        <v>36.834499999999998</v>
      </c>
      <c r="AH62">
        <v>2</v>
      </c>
      <c r="AI62">
        <v>28316028</v>
      </c>
      <c r="AJ62">
        <v>63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>
      <c r="A63">
        <f>ROW(Source!A47)</f>
        <v>47</v>
      </c>
      <c r="B63">
        <v>28316041</v>
      </c>
      <c r="C63">
        <v>28316027</v>
      </c>
      <c r="D63">
        <v>25871146</v>
      </c>
      <c r="E63">
        <v>1</v>
      </c>
      <c r="F63">
        <v>1</v>
      </c>
      <c r="G63">
        <v>1</v>
      </c>
      <c r="H63">
        <v>1</v>
      </c>
      <c r="I63" t="s">
        <v>307</v>
      </c>
      <c r="J63" t="s">
        <v>6</v>
      </c>
      <c r="K63" t="s">
        <v>308</v>
      </c>
      <c r="L63">
        <v>1191</v>
      </c>
      <c r="N63">
        <v>1013</v>
      </c>
      <c r="O63" t="s">
        <v>297</v>
      </c>
      <c r="P63" t="s">
        <v>297</v>
      </c>
      <c r="Q63">
        <v>1</v>
      </c>
      <c r="X63">
        <v>0.34</v>
      </c>
      <c r="Y63">
        <v>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2</v>
      </c>
      <c r="AF63" t="s">
        <v>55</v>
      </c>
      <c r="AG63">
        <v>0.42500000000000004</v>
      </c>
      <c r="AH63">
        <v>2</v>
      </c>
      <c r="AI63">
        <v>28316029</v>
      </c>
      <c r="AJ63">
        <v>64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>
      <c r="A64">
        <f>ROW(Source!A47)</f>
        <v>47</v>
      </c>
      <c r="B64">
        <v>28316042</v>
      </c>
      <c r="C64">
        <v>28316027</v>
      </c>
      <c r="D64">
        <v>25687000</v>
      </c>
      <c r="E64">
        <v>1</v>
      </c>
      <c r="F64">
        <v>1</v>
      </c>
      <c r="G64">
        <v>1</v>
      </c>
      <c r="H64">
        <v>2</v>
      </c>
      <c r="I64" t="s">
        <v>315</v>
      </c>
      <c r="J64" t="s">
        <v>316</v>
      </c>
      <c r="K64" t="s">
        <v>317</v>
      </c>
      <c r="L64">
        <v>1368</v>
      </c>
      <c r="N64">
        <v>1011</v>
      </c>
      <c r="O64" t="s">
        <v>301</v>
      </c>
      <c r="P64" t="s">
        <v>301</v>
      </c>
      <c r="Q64">
        <v>1</v>
      </c>
      <c r="X64">
        <v>0.34</v>
      </c>
      <c r="Y64">
        <v>0</v>
      </c>
      <c r="Z64">
        <v>65.709999999999994</v>
      </c>
      <c r="AA64">
        <v>11.6</v>
      </c>
      <c r="AB64">
        <v>0</v>
      </c>
      <c r="AC64">
        <v>0</v>
      </c>
      <c r="AD64">
        <v>1</v>
      </c>
      <c r="AE64">
        <v>0</v>
      </c>
      <c r="AF64" t="s">
        <v>55</v>
      </c>
      <c r="AG64">
        <v>0.42500000000000004</v>
      </c>
      <c r="AH64">
        <v>2</v>
      </c>
      <c r="AI64">
        <v>28316030</v>
      </c>
      <c r="AJ64">
        <v>65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>
      <c r="A65">
        <f>ROW(Source!A47)</f>
        <v>47</v>
      </c>
      <c r="B65">
        <v>28316043</v>
      </c>
      <c r="C65">
        <v>28316027</v>
      </c>
      <c r="D65">
        <v>25688208</v>
      </c>
      <c r="E65">
        <v>1</v>
      </c>
      <c r="F65">
        <v>1</v>
      </c>
      <c r="G65">
        <v>1</v>
      </c>
      <c r="H65">
        <v>2</v>
      </c>
      <c r="I65" t="s">
        <v>358</v>
      </c>
      <c r="J65" t="s">
        <v>359</v>
      </c>
      <c r="K65" t="s">
        <v>360</v>
      </c>
      <c r="L65">
        <v>1368</v>
      </c>
      <c r="N65">
        <v>1011</v>
      </c>
      <c r="O65" t="s">
        <v>301</v>
      </c>
      <c r="P65" t="s">
        <v>301</v>
      </c>
      <c r="Q65">
        <v>1</v>
      </c>
      <c r="X65">
        <v>8.02</v>
      </c>
      <c r="Y65">
        <v>0</v>
      </c>
      <c r="Z65">
        <v>35.61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55</v>
      </c>
      <c r="AG65">
        <v>10.024999999999999</v>
      </c>
      <c r="AH65">
        <v>2</v>
      </c>
      <c r="AI65">
        <v>28316031</v>
      </c>
      <c r="AJ65">
        <v>66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>
      <c r="A66">
        <f>ROW(Source!A47)</f>
        <v>47</v>
      </c>
      <c r="B66">
        <v>28316044</v>
      </c>
      <c r="C66">
        <v>28316027</v>
      </c>
      <c r="D66">
        <v>25605318</v>
      </c>
      <c r="E66">
        <v>1</v>
      </c>
      <c r="F66">
        <v>1</v>
      </c>
      <c r="G66">
        <v>1</v>
      </c>
      <c r="H66">
        <v>3</v>
      </c>
      <c r="I66" t="s">
        <v>361</v>
      </c>
      <c r="J66" t="s">
        <v>362</v>
      </c>
      <c r="K66" t="s">
        <v>363</v>
      </c>
      <c r="L66">
        <v>1346</v>
      </c>
      <c r="N66">
        <v>1009</v>
      </c>
      <c r="O66" t="s">
        <v>107</v>
      </c>
      <c r="P66" t="s">
        <v>107</v>
      </c>
      <c r="Q66">
        <v>1</v>
      </c>
      <c r="X66">
        <v>0.52600000000000002</v>
      </c>
      <c r="Y66">
        <v>112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0.52600000000000002</v>
      </c>
      <c r="AH66">
        <v>2</v>
      </c>
      <c r="AI66">
        <v>28316032</v>
      </c>
      <c r="AJ66">
        <v>67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>
      <c r="A67">
        <f>ROW(Source!A47)</f>
        <v>47</v>
      </c>
      <c r="B67">
        <v>28316045</v>
      </c>
      <c r="C67">
        <v>28316027</v>
      </c>
      <c r="D67">
        <v>25605550</v>
      </c>
      <c r="E67">
        <v>1</v>
      </c>
      <c r="F67">
        <v>1</v>
      </c>
      <c r="G67">
        <v>1</v>
      </c>
      <c r="H67">
        <v>3</v>
      </c>
      <c r="I67" t="s">
        <v>364</v>
      </c>
      <c r="J67" t="s">
        <v>365</v>
      </c>
      <c r="K67" t="s">
        <v>366</v>
      </c>
      <c r="L67">
        <v>1327</v>
      </c>
      <c r="N67">
        <v>1005</v>
      </c>
      <c r="O67" t="s">
        <v>48</v>
      </c>
      <c r="P67" t="s">
        <v>48</v>
      </c>
      <c r="Q67">
        <v>1</v>
      </c>
      <c r="X67">
        <v>3</v>
      </c>
      <c r="Y67">
        <v>3.62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6</v>
      </c>
      <c r="AG67">
        <v>3</v>
      </c>
      <c r="AH67">
        <v>2</v>
      </c>
      <c r="AI67">
        <v>28316033</v>
      </c>
      <c r="AJ67">
        <v>68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>
      <c r="A68">
        <f>ROW(Source!A47)</f>
        <v>47</v>
      </c>
      <c r="B68">
        <v>28316046</v>
      </c>
      <c r="C68">
        <v>28316027</v>
      </c>
      <c r="D68">
        <v>25628887</v>
      </c>
      <c r="E68">
        <v>1</v>
      </c>
      <c r="F68">
        <v>1</v>
      </c>
      <c r="G68">
        <v>1</v>
      </c>
      <c r="H68">
        <v>3</v>
      </c>
      <c r="I68" t="s">
        <v>367</v>
      </c>
      <c r="J68" t="s">
        <v>368</v>
      </c>
      <c r="K68" t="s">
        <v>369</v>
      </c>
      <c r="L68">
        <v>1346</v>
      </c>
      <c r="N68">
        <v>1009</v>
      </c>
      <c r="O68" t="s">
        <v>107</v>
      </c>
      <c r="P68" t="s">
        <v>107</v>
      </c>
      <c r="Q68">
        <v>1</v>
      </c>
      <c r="X68">
        <v>4.0000000000000002E-4</v>
      </c>
      <c r="Y68">
        <v>8.94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4.0000000000000002E-4</v>
      </c>
      <c r="AH68">
        <v>2</v>
      </c>
      <c r="AI68">
        <v>28316034</v>
      </c>
      <c r="AJ68">
        <v>69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>
      <c r="A69">
        <f>ROW(Source!A47)</f>
        <v>47</v>
      </c>
      <c r="B69">
        <v>28316047</v>
      </c>
      <c r="C69">
        <v>28316027</v>
      </c>
      <c r="D69">
        <v>25636642</v>
      </c>
      <c r="E69">
        <v>1</v>
      </c>
      <c r="F69">
        <v>1</v>
      </c>
      <c r="G69">
        <v>1</v>
      </c>
      <c r="H69">
        <v>3</v>
      </c>
      <c r="I69" t="s">
        <v>105</v>
      </c>
      <c r="J69" t="s">
        <v>108</v>
      </c>
      <c r="K69" t="s">
        <v>106</v>
      </c>
      <c r="L69">
        <v>1346</v>
      </c>
      <c r="N69">
        <v>1009</v>
      </c>
      <c r="O69" t="s">
        <v>107</v>
      </c>
      <c r="P69" t="s">
        <v>107</v>
      </c>
      <c r="Q69">
        <v>1</v>
      </c>
      <c r="X69">
        <v>42.84</v>
      </c>
      <c r="Y69">
        <v>58.1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42.84</v>
      </c>
      <c r="AH69">
        <v>2</v>
      </c>
      <c r="AI69">
        <v>28316035</v>
      </c>
      <c r="AJ69">
        <v>70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>
      <c r="A70">
        <f>ROW(Source!A47)</f>
        <v>47</v>
      </c>
      <c r="B70">
        <v>28316048</v>
      </c>
      <c r="C70">
        <v>28316027</v>
      </c>
      <c r="D70">
        <v>25636644</v>
      </c>
      <c r="E70">
        <v>1</v>
      </c>
      <c r="F70">
        <v>1</v>
      </c>
      <c r="G70">
        <v>1</v>
      </c>
      <c r="H70">
        <v>3</v>
      </c>
      <c r="I70" t="s">
        <v>110</v>
      </c>
      <c r="J70" t="s">
        <v>112</v>
      </c>
      <c r="K70" t="s">
        <v>111</v>
      </c>
      <c r="L70">
        <v>1346</v>
      </c>
      <c r="N70">
        <v>1009</v>
      </c>
      <c r="O70" t="s">
        <v>107</v>
      </c>
      <c r="P70" t="s">
        <v>107</v>
      </c>
      <c r="Q70">
        <v>1</v>
      </c>
      <c r="X70">
        <v>41.16</v>
      </c>
      <c r="Y70">
        <v>51.8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41.16</v>
      </c>
      <c r="AH70">
        <v>2</v>
      </c>
      <c r="AI70">
        <v>28316036</v>
      </c>
      <c r="AJ70">
        <v>71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>
      <c r="A71">
        <f>ROW(Source!A47)</f>
        <v>47</v>
      </c>
      <c r="B71">
        <v>28316049</v>
      </c>
      <c r="C71">
        <v>28316027</v>
      </c>
      <c r="D71">
        <v>25636776</v>
      </c>
      <c r="E71">
        <v>1</v>
      </c>
      <c r="F71">
        <v>1</v>
      </c>
      <c r="G71">
        <v>1</v>
      </c>
      <c r="H71">
        <v>3</v>
      </c>
      <c r="I71" t="s">
        <v>370</v>
      </c>
      <c r="J71" t="s">
        <v>371</v>
      </c>
      <c r="K71" t="s">
        <v>372</v>
      </c>
      <c r="L71">
        <v>1346</v>
      </c>
      <c r="N71">
        <v>1009</v>
      </c>
      <c r="O71" t="s">
        <v>107</v>
      </c>
      <c r="P71" t="s">
        <v>107</v>
      </c>
      <c r="Q71">
        <v>1</v>
      </c>
      <c r="X71">
        <v>5</v>
      </c>
      <c r="Y71">
        <v>18.399999999999999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5</v>
      </c>
      <c r="AH71">
        <v>2</v>
      </c>
      <c r="AI71">
        <v>28316037</v>
      </c>
      <c r="AJ71">
        <v>72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>
      <c r="A72">
        <f>ROW(Source!A47)</f>
        <v>47</v>
      </c>
      <c r="B72">
        <v>28316050</v>
      </c>
      <c r="C72">
        <v>28316027</v>
      </c>
      <c r="D72">
        <v>25636780</v>
      </c>
      <c r="E72">
        <v>1</v>
      </c>
      <c r="F72">
        <v>1</v>
      </c>
      <c r="G72">
        <v>1</v>
      </c>
      <c r="H72">
        <v>3</v>
      </c>
      <c r="I72" t="s">
        <v>373</v>
      </c>
      <c r="J72" t="s">
        <v>374</v>
      </c>
      <c r="K72" t="s">
        <v>375</v>
      </c>
      <c r="L72">
        <v>1346</v>
      </c>
      <c r="N72">
        <v>1009</v>
      </c>
      <c r="O72" t="s">
        <v>107</v>
      </c>
      <c r="P72" t="s">
        <v>107</v>
      </c>
      <c r="Q72">
        <v>1</v>
      </c>
      <c r="X72">
        <v>3</v>
      </c>
      <c r="Y72">
        <v>65.3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6</v>
      </c>
      <c r="AG72">
        <v>3</v>
      </c>
      <c r="AH72">
        <v>2</v>
      </c>
      <c r="AI72">
        <v>28316038</v>
      </c>
      <c r="AJ72">
        <v>73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>
      <c r="A73">
        <f>ROW(Source!A51)</f>
        <v>51</v>
      </c>
      <c r="B73">
        <v>28316057</v>
      </c>
      <c r="C73">
        <v>28316054</v>
      </c>
      <c r="D73">
        <v>25877307</v>
      </c>
      <c r="E73">
        <v>1</v>
      </c>
      <c r="F73">
        <v>1</v>
      </c>
      <c r="G73">
        <v>1</v>
      </c>
      <c r="H73">
        <v>1</v>
      </c>
      <c r="I73" t="s">
        <v>376</v>
      </c>
      <c r="J73" t="s">
        <v>6</v>
      </c>
      <c r="K73" t="s">
        <v>377</v>
      </c>
      <c r="L73">
        <v>1191</v>
      </c>
      <c r="N73">
        <v>1013</v>
      </c>
      <c r="O73" t="s">
        <v>297</v>
      </c>
      <c r="P73" t="s">
        <v>297</v>
      </c>
      <c r="Q73">
        <v>1</v>
      </c>
      <c r="X73">
        <v>0.18</v>
      </c>
      <c r="Y73">
        <v>0</v>
      </c>
      <c r="Z73">
        <v>0</v>
      </c>
      <c r="AA73">
        <v>0</v>
      </c>
      <c r="AB73">
        <v>9.6199999999999992</v>
      </c>
      <c r="AC73">
        <v>0</v>
      </c>
      <c r="AD73">
        <v>1</v>
      </c>
      <c r="AE73">
        <v>1</v>
      </c>
      <c r="AF73" t="s">
        <v>56</v>
      </c>
      <c r="AG73">
        <v>0.20699999999999999</v>
      </c>
      <c r="AH73">
        <v>2</v>
      </c>
      <c r="AI73">
        <v>28316055</v>
      </c>
      <c r="AJ73">
        <v>75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>
      <c r="A74">
        <f>ROW(Source!A51)</f>
        <v>51</v>
      </c>
      <c r="B74">
        <v>28316058</v>
      </c>
      <c r="C74">
        <v>28316054</v>
      </c>
      <c r="D74">
        <v>25602343</v>
      </c>
      <c r="E74">
        <v>17</v>
      </c>
      <c r="F74">
        <v>1</v>
      </c>
      <c r="G74">
        <v>1</v>
      </c>
      <c r="H74">
        <v>3</v>
      </c>
      <c r="I74" t="s">
        <v>400</v>
      </c>
      <c r="J74" t="s">
        <v>6</v>
      </c>
      <c r="K74" t="s">
        <v>401</v>
      </c>
      <c r="L74">
        <v>1354</v>
      </c>
      <c r="N74">
        <v>1010</v>
      </c>
      <c r="O74" t="s">
        <v>90</v>
      </c>
      <c r="P74" t="s">
        <v>90</v>
      </c>
      <c r="Q74">
        <v>1</v>
      </c>
      <c r="X74">
        <v>1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 t="s">
        <v>6</v>
      </c>
      <c r="AG74">
        <v>1</v>
      </c>
      <c r="AH74">
        <v>3</v>
      </c>
      <c r="AI74">
        <v>-1</v>
      </c>
      <c r="AJ74" t="s">
        <v>6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>
      <c r="A75">
        <f>ROW(Source!A53)</f>
        <v>53</v>
      </c>
      <c r="B75">
        <v>28316068</v>
      </c>
      <c r="C75">
        <v>28316060</v>
      </c>
      <c r="D75">
        <v>25871518</v>
      </c>
      <c r="E75">
        <v>1</v>
      </c>
      <c r="F75">
        <v>1</v>
      </c>
      <c r="G75">
        <v>1</v>
      </c>
      <c r="H75">
        <v>1</v>
      </c>
      <c r="I75" t="s">
        <v>342</v>
      </c>
      <c r="J75" t="s">
        <v>6</v>
      </c>
      <c r="K75" t="s">
        <v>343</v>
      </c>
      <c r="L75">
        <v>1191</v>
      </c>
      <c r="N75">
        <v>1013</v>
      </c>
      <c r="O75" t="s">
        <v>297</v>
      </c>
      <c r="P75" t="s">
        <v>297</v>
      </c>
      <c r="Q75">
        <v>1</v>
      </c>
      <c r="X75">
        <v>112.75</v>
      </c>
      <c r="Y75">
        <v>0</v>
      </c>
      <c r="Z75">
        <v>0</v>
      </c>
      <c r="AA75">
        <v>0</v>
      </c>
      <c r="AB75">
        <v>8.5299999999999994</v>
      </c>
      <c r="AC75">
        <v>0</v>
      </c>
      <c r="AD75">
        <v>1</v>
      </c>
      <c r="AE75">
        <v>1</v>
      </c>
      <c r="AF75" t="s">
        <v>56</v>
      </c>
      <c r="AG75">
        <v>129.66249999999999</v>
      </c>
      <c r="AH75">
        <v>2</v>
      </c>
      <c r="AI75">
        <v>28316061</v>
      </c>
      <c r="AJ75">
        <v>77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>
      <c r="A76">
        <f>ROW(Source!A53)</f>
        <v>53</v>
      </c>
      <c r="B76">
        <v>28316069</v>
      </c>
      <c r="C76">
        <v>28316060</v>
      </c>
      <c r="D76">
        <v>25871146</v>
      </c>
      <c r="E76">
        <v>1</v>
      </c>
      <c r="F76">
        <v>1</v>
      </c>
      <c r="G76">
        <v>1</v>
      </c>
      <c r="H76">
        <v>1</v>
      </c>
      <c r="I76" t="s">
        <v>307</v>
      </c>
      <c r="J76" t="s">
        <v>6</v>
      </c>
      <c r="K76" t="s">
        <v>308</v>
      </c>
      <c r="L76">
        <v>1191</v>
      </c>
      <c r="N76">
        <v>1013</v>
      </c>
      <c r="O76" t="s">
        <v>297</v>
      </c>
      <c r="P76" t="s">
        <v>297</v>
      </c>
      <c r="Q76">
        <v>1</v>
      </c>
      <c r="X76">
        <v>0.27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55</v>
      </c>
      <c r="AG76">
        <v>0.33750000000000002</v>
      </c>
      <c r="AH76">
        <v>2</v>
      </c>
      <c r="AI76">
        <v>28316062</v>
      </c>
      <c r="AJ76">
        <v>78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>
      <c r="A77">
        <f>ROW(Source!A53)</f>
        <v>53</v>
      </c>
      <c r="B77">
        <v>28316070</v>
      </c>
      <c r="C77">
        <v>28316060</v>
      </c>
      <c r="D77">
        <v>25685503</v>
      </c>
      <c r="E77">
        <v>1</v>
      </c>
      <c r="F77">
        <v>1</v>
      </c>
      <c r="G77">
        <v>1</v>
      </c>
      <c r="H77">
        <v>2</v>
      </c>
      <c r="I77" t="s">
        <v>378</v>
      </c>
      <c r="J77" t="s">
        <v>379</v>
      </c>
      <c r="K77" t="s">
        <v>380</v>
      </c>
      <c r="L77">
        <v>1368</v>
      </c>
      <c r="N77">
        <v>1011</v>
      </c>
      <c r="O77" t="s">
        <v>301</v>
      </c>
      <c r="P77" t="s">
        <v>301</v>
      </c>
      <c r="Q77">
        <v>1</v>
      </c>
      <c r="X77">
        <v>0.2</v>
      </c>
      <c r="Y77">
        <v>0</v>
      </c>
      <c r="Z77">
        <v>86.4</v>
      </c>
      <c r="AA77">
        <v>13.5</v>
      </c>
      <c r="AB77">
        <v>0</v>
      </c>
      <c r="AC77">
        <v>0</v>
      </c>
      <c r="AD77">
        <v>1</v>
      </c>
      <c r="AE77">
        <v>0</v>
      </c>
      <c r="AF77" t="s">
        <v>55</v>
      </c>
      <c r="AG77">
        <v>0.25</v>
      </c>
      <c r="AH77">
        <v>2</v>
      </c>
      <c r="AI77">
        <v>28316063</v>
      </c>
      <c r="AJ77">
        <v>79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>
      <c r="A78">
        <f>ROW(Source!A53)</f>
        <v>53</v>
      </c>
      <c r="B78">
        <v>28316071</v>
      </c>
      <c r="C78">
        <v>28316060</v>
      </c>
      <c r="D78">
        <v>25687000</v>
      </c>
      <c r="E78">
        <v>1</v>
      </c>
      <c r="F78">
        <v>1</v>
      </c>
      <c r="G78">
        <v>1</v>
      </c>
      <c r="H78">
        <v>2</v>
      </c>
      <c r="I78" t="s">
        <v>315</v>
      </c>
      <c r="J78" t="s">
        <v>316</v>
      </c>
      <c r="K78" t="s">
        <v>317</v>
      </c>
      <c r="L78">
        <v>1368</v>
      </c>
      <c r="N78">
        <v>1011</v>
      </c>
      <c r="O78" t="s">
        <v>301</v>
      </c>
      <c r="P78" t="s">
        <v>301</v>
      </c>
      <c r="Q78">
        <v>1</v>
      </c>
      <c r="X78">
        <v>7.0000000000000007E-2</v>
      </c>
      <c r="Y78">
        <v>0</v>
      </c>
      <c r="Z78">
        <v>65.709999999999994</v>
      </c>
      <c r="AA78">
        <v>11.6</v>
      </c>
      <c r="AB78">
        <v>0</v>
      </c>
      <c r="AC78">
        <v>0</v>
      </c>
      <c r="AD78">
        <v>1</v>
      </c>
      <c r="AE78">
        <v>0</v>
      </c>
      <c r="AF78" t="s">
        <v>55</v>
      </c>
      <c r="AG78">
        <v>8.7500000000000008E-2</v>
      </c>
      <c r="AH78">
        <v>2</v>
      </c>
      <c r="AI78">
        <v>28316064</v>
      </c>
      <c r="AJ78">
        <v>80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>
      <c r="A79">
        <f>ROW(Source!A53)</f>
        <v>53</v>
      </c>
      <c r="B79">
        <v>28316072</v>
      </c>
      <c r="C79">
        <v>28316060</v>
      </c>
      <c r="D79">
        <v>25607811</v>
      </c>
      <c r="E79">
        <v>1</v>
      </c>
      <c r="F79">
        <v>1</v>
      </c>
      <c r="G79">
        <v>1</v>
      </c>
      <c r="H79">
        <v>3</v>
      </c>
      <c r="I79" t="s">
        <v>381</v>
      </c>
      <c r="J79" t="s">
        <v>382</v>
      </c>
      <c r="K79" t="s">
        <v>383</v>
      </c>
      <c r="L79">
        <v>1348</v>
      </c>
      <c r="N79">
        <v>1009</v>
      </c>
      <c r="O79" t="s">
        <v>30</v>
      </c>
      <c r="P79" t="s">
        <v>30</v>
      </c>
      <c r="Q79">
        <v>1000</v>
      </c>
      <c r="X79">
        <v>4.0000000000000001E-3</v>
      </c>
      <c r="Y79">
        <v>8475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4.0000000000000001E-3</v>
      </c>
      <c r="AH79">
        <v>2</v>
      </c>
      <c r="AI79">
        <v>28316065</v>
      </c>
      <c r="AJ79">
        <v>81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>
      <c r="A80">
        <f>ROW(Source!A53)</f>
        <v>53</v>
      </c>
      <c r="B80">
        <v>28316073</v>
      </c>
      <c r="C80">
        <v>28316060</v>
      </c>
      <c r="D80">
        <v>25628908</v>
      </c>
      <c r="E80">
        <v>1</v>
      </c>
      <c r="F80">
        <v>1</v>
      </c>
      <c r="G80">
        <v>1</v>
      </c>
      <c r="H80">
        <v>3</v>
      </c>
      <c r="I80" t="s">
        <v>384</v>
      </c>
      <c r="J80" t="s">
        <v>385</v>
      </c>
      <c r="K80" t="s">
        <v>386</v>
      </c>
      <c r="L80">
        <v>1348</v>
      </c>
      <c r="N80">
        <v>1009</v>
      </c>
      <c r="O80" t="s">
        <v>30</v>
      </c>
      <c r="P80" t="s">
        <v>30</v>
      </c>
      <c r="Q80">
        <v>1000</v>
      </c>
      <c r="X80">
        <v>1.2E-2</v>
      </c>
      <c r="Y80">
        <v>8190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1.2E-2</v>
      </c>
      <c r="AH80">
        <v>2</v>
      </c>
      <c r="AI80">
        <v>28316066</v>
      </c>
      <c r="AJ80">
        <v>82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>
      <c r="A81">
        <f>ROW(Source!A53)</f>
        <v>53</v>
      </c>
      <c r="B81">
        <v>28316074</v>
      </c>
      <c r="C81">
        <v>28316060</v>
      </c>
      <c r="D81">
        <v>25629155</v>
      </c>
      <c r="E81">
        <v>1</v>
      </c>
      <c r="F81">
        <v>1</v>
      </c>
      <c r="G81">
        <v>1</v>
      </c>
      <c r="H81">
        <v>3</v>
      </c>
      <c r="I81" t="s">
        <v>387</v>
      </c>
      <c r="J81" t="s">
        <v>388</v>
      </c>
      <c r="K81" t="s">
        <v>389</v>
      </c>
      <c r="L81">
        <v>1348</v>
      </c>
      <c r="N81">
        <v>1009</v>
      </c>
      <c r="O81" t="s">
        <v>30</v>
      </c>
      <c r="P81" t="s">
        <v>30</v>
      </c>
      <c r="Q81">
        <v>1000</v>
      </c>
      <c r="X81">
        <v>0.78200000000000003</v>
      </c>
      <c r="Y81">
        <v>11200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0.78200000000000003</v>
      </c>
      <c r="AH81">
        <v>2</v>
      </c>
      <c r="AI81">
        <v>28316067</v>
      </c>
      <c r="AJ81">
        <v>83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>
      <c r="A82">
        <f>ROW(Source!A54)</f>
        <v>54</v>
      </c>
      <c r="B82">
        <v>28316095</v>
      </c>
      <c r="C82">
        <v>28316090</v>
      </c>
      <c r="D82">
        <v>25877307</v>
      </c>
      <c r="E82">
        <v>1</v>
      </c>
      <c r="F82">
        <v>1</v>
      </c>
      <c r="G82">
        <v>1</v>
      </c>
      <c r="H82">
        <v>1</v>
      </c>
      <c r="I82" t="s">
        <v>376</v>
      </c>
      <c r="J82" t="s">
        <v>6</v>
      </c>
      <c r="K82" t="s">
        <v>377</v>
      </c>
      <c r="L82">
        <v>1191</v>
      </c>
      <c r="N82">
        <v>1013</v>
      </c>
      <c r="O82" t="s">
        <v>297</v>
      </c>
      <c r="P82" t="s">
        <v>297</v>
      </c>
      <c r="Q82">
        <v>1</v>
      </c>
      <c r="X82">
        <v>7.19</v>
      </c>
      <c r="Y82">
        <v>0</v>
      </c>
      <c r="Z82">
        <v>0</v>
      </c>
      <c r="AA82">
        <v>0</v>
      </c>
      <c r="AB82">
        <v>9.6199999999999992</v>
      </c>
      <c r="AC82">
        <v>0</v>
      </c>
      <c r="AD82">
        <v>1</v>
      </c>
      <c r="AE82">
        <v>1</v>
      </c>
      <c r="AF82" t="s">
        <v>6</v>
      </c>
      <c r="AG82">
        <v>7.19</v>
      </c>
      <c r="AH82">
        <v>2</v>
      </c>
      <c r="AI82">
        <v>28316091</v>
      </c>
      <c r="AJ82">
        <v>84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>
      <c r="A83">
        <f>ROW(Source!A54)</f>
        <v>54</v>
      </c>
      <c r="B83">
        <v>28316096</v>
      </c>
      <c r="C83">
        <v>28316090</v>
      </c>
      <c r="D83">
        <v>25871146</v>
      </c>
      <c r="E83">
        <v>1</v>
      </c>
      <c r="F83">
        <v>1</v>
      </c>
      <c r="G83">
        <v>1</v>
      </c>
      <c r="H83">
        <v>1</v>
      </c>
      <c r="I83" t="s">
        <v>307</v>
      </c>
      <c r="J83" t="s">
        <v>6</v>
      </c>
      <c r="K83" t="s">
        <v>308</v>
      </c>
      <c r="L83">
        <v>1191</v>
      </c>
      <c r="N83">
        <v>1013</v>
      </c>
      <c r="O83" t="s">
        <v>297</v>
      </c>
      <c r="P83" t="s">
        <v>297</v>
      </c>
      <c r="Q83">
        <v>1</v>
      </c>
      <c r="X83">
        <v>0.01</v>
      </c>
      <c r="Y83">
        <v>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2</v>
      </c>
      <c r="AF83" t="s">
        <v>6</v>
      </c>
      <c r="AG83">
        <v>0.01</v>
      </c>
      <c r="AH83">
        <v>2</v>
      </c>
      <c r="AI83">
        <v>28316092</v>
      </c>
      <c r="AJ83">
        <v>85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>
      <c r="A84">
        <f>ROW(Source!A54)</f>
        <v>54</v>
      </c>
      <c r="B84">
        <v>28316097</v>
      </c>
      <c r="C84">
        <v>28316090</v>
      </c>
      <c r="D84">
        <v>25687000</v>
      </c>
      <c r="E84">
        <v>1</v>
      </c>
      <c r="F84">
        <v>1</v>
      </c>
      <c r="G84">
        <v>1</v>
      </c>
      <c r="H84">
        <v>2</v>
      </c>
      <c r="I84" t="s">
        <v>315</v>
      </c>
      <c r="J84" t="s">
        <v>316</v>
      </c>
      <c r="K84" t="s">
        <v>317</v>
      </c>
      <c r="L84">
        <v>1368</v>
      </c>
      <c r="N84">
        <v>1011</v>
      </c>
      <c r="O84" t="s">
        <v>301</v>
      </c>
      <c r="P84" t="s">
        <v>301</v>
      </c>
      <c r="Q84">
        <v>1</v>
      </c>
      <c r="X84">
        <v>0.01</v>
      </c>
      <c r="Y84">
        <v>0</v>
      </c>
      <c r="Z84">
        <v>65.709999999999994</v>
      </c>
      <c r="AA84">
        <v>11.6</v>
      </c>
      <c r="AB84">
        <v>0</v>
      </c>
      <c r="AC84">
        <v>0</v>
      </c>
      <c r="AD84">
        <v>1</v>
      </c>
      <c r="AE84">
        <v>0</v>
      </c>
      <c r="AF84" t="s">
        <v>6</v>
      </c>
      <c r="AG84">
        <v>0.01</v>
      </c>
      <c r="AH84">
        <v>2</v>
      </c>
      <c r="AI84">
        <v>28316093</v>
      </c>
      <c r="AJ84">
        <v>86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>
      <c r="A85">
        <f>ROW(Source!A54)</f>
        <v>54</v>
      </c>
      <c r="B85">
        <v>28316098</v>
      </c>
      <c r="C85">
        <v>28316090</v>
      </c>
      <c r="D85">
        <v>25602255</v>
      </c>
      <c r="E85">
        <v>17</v>
      </c>
      <c r="F85">
        <v>1</v>
      </c>
      <c r="G85">
        <v>1</v>
      </c>
      <c r="H85">
        <v>3</v>
      </c>
      <c r="I85" t="s">
        <v>402</v>
      </c>
      <c r="J85" t="s">
        <v>6</v>
      </c>
      <c r="K85" t="s">
        <v>403</v>
      </c>
      <c r="L85">
        <v>1354</v>
      </c>
      <c r="N85">
        <v>1010</v>
      </c>
      <c r="O85" t="s">
        <v>90</v>
      </c>
      <c r="P85" t="s">
        <v>90</v>
      </c>
      <c r="Q85">
        <v>1</v>
      </c>
      <c r="X85">
        <v>0</v>
      </c>
      <c r="Y85">
        <v>0</v>
      </c>
      <c r="Z85">
        <v>0</v>
      </c>
      <c r="AA85">
        <v>0</v>
      </c>
      <c r="AB85">
        <v>0</v>
      </c>
      <c r="AC85">
        <v>1</v>
      </c>
      <c r="AD85">
        <v>0</v>
      </c>
      <c r="AE85">
        <v>0</v>
      </c>
      <c r="AF85" t="s">
        <v>6</v>
      </c>
      <c r="AG85">
        <v>0</v>
      </c>
      <c r="AH85">
        <v>3</v>
      </c>
      <c r="AI85">
        <v>-1</v>
      </c>
      <c r="AJ85" t="s">
        <v>6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>
      <c r="A86">
        <f>ROW(Source!A54)</f>
        <v>54</v>
      </c>
      <c r="B86">
        <v>28316099</v>
      </c>
      <c r="C86">
        <v>28316090</v>
      </c>
      <c r="D86">
        <v>25600617</v>
      </c>
      <c r="E86">
        <v>17</v>
      </c>
      <c r="F86">
        <v>1</v>
      </c>
      <c r="G86">
        <v>1</v>
      </c>
      <c r="H86">
        <v>3</v>
      </c>
      <c r="I86" t="s">
        <v>404</v>
      </c>
      <c r="J86" t="s">
        <v>6</v>
      </c>
      <c r="K86" t="s">
        <v>151</v>
      </c>
      <c r="L86">
        <v>1346</v>
      </c>
      <c r="N86">
        <v>1009</v>
      </c>
      <c r="O86" t="s">
        <v>107</v>
      </c>
      <c r="P86" t="s">
        <v>107</v>
      </c>
      <c r="Q86">
        <v>1</v>
      </c>
      <c r="X86">
        <v>19.5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 t="s">
        <v>6</v>
      </c>
      <c r="AG86">
        <v>19.5</v>
      </c>
      <c r="AH86">
        <v>3</v>
      </c>
      <c r="AI86">
        <v>-1</v>
      </c>
      <c r="AJ86" t="s">
        <v>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Смета 12 гр. по ФЕР</vt:lpstr>
      <vt:lpstr>Дефектная ведомость</vt:lpstr>
      <vt:lpstr>Локальная ресурсная ведомо</vt:lpstr>
      <vt:lpstr>Source</vt:lpstr>
      <vt:lpstr>SourceObSm</vt:lpstr>
      <vt:lpstr>SmtRes</vt:lpstr>
      <vt:lpstr>EtalonRes</vt:lpstr>
      <vt:lpstr>'Дефектная ведомость'!Заголовки_для_печати</vt:lpstr>
      <vt:lpstr>'Локальная ресурсная ведомо'!Заголовки_для_печати</vt:lpstr>
      <vt:lpstr>'Смета 12 гр. по ФЕР'!Заголовки_для_печати</vt:lpstr>
      <vt:lpstr>'Дефектная ведомость'!Область_печати</vt:lpstr>
      <vt:lpstr>'Локальная ресурсная ведомо'!Область_печати</vt:lpstr>
      <vt:lpstr>'Смета 12 гр. по ФЕР'!Область_печати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RudevED</dc:creator>
  <cp:lastModifiedBy>Рудев Э.Л.</cp:lastModifiedBy>
  <cp:lastPrinted>2018-01-26T11:23:18Z</cp:lastPrinted>
  <dcterms:created xsi:type="dcterms:W3CDTF">2018-01-26T08:12:31Z</dcterms:created>
  <dcterms:modified xsi:type="dcterms:W3CDTF">2019-05-12T13:20:41Z</dcterms:modified>
</cp:coreProperties>
</file>